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240" yWindow="120" windowWidth="28380" windowHeight="12150"/>
  </bookViews>
  <sheets>
    <sheet name="Tabelle1" sheetId="1" r:id="rId1"/>
    <sheet name="Tabelle2" sheetId="2" state="veryHidden" r:id="rId2"/>
    <sheet name="Tabelle3" sheetId="3" state="veryHidden" r:id="rId3"/>
    <sheet name="Sonne Mond" sheetId="4" state="veryHidden" r:id="rId4"/>
    <sheet name="Planeten" sheetId="5" state="veryHidden" r:id="rId5"/>
    <sheet name="Tabelle5" sheetId="6" state="veryHidden" r:id="rId6"/>
  </sheets>
  <calcPr calcId="145621"/>
</workbook>
</file>

<file path=xl/calcChain.xml><?xml version="1.0" encoding="utf-8"?>
<calcChain xmlns="http://schemas.openxmlformats.org/spreadsheetml/2006/main">
  <c r="L42" i="5" l="1"/>
  <c r="L43" i="5"/>
  <c r="L44" i="5"/>
  <c r="L45" i="5"/>
  <c r="L46" i="5"/>
  <c r="L47" i="5"/>
  <c r="L48" i="5"/>
  <c r="L41" i="5"/>
  <c r="J42" i="5"/>
  <c r="J43" i="5"/>
  <c r="J44" i="5"/>
  <c r="J45" i="5"/>
  <c r="J46" i="5"/>
  <c r="J47" i="5"/>
  <c r="J48" i="5"/>
  <c r="J41" i="5"/>
  <c r="K8" i="1" l="1"/>
  <c r="B66" i="1"/>
  <c r="B3" i="6" l="1"/>
  <c r="A1" i="1"/>
  <c r="J64" i="1"/>
  <c r="C4" i="5"/>
  <c r="B69" i="1"/>
  <c r="F21" i="1" s="1"/>
  <c r="A1" i="3"/>
  <c r="B64" i="1"/>
  <c r="G6" i="6"/>
  <c r="L168" i="5" l="1"/>
  <c r="K168" i="5"/>
  <c r="J168" i="5"/>
  <c r="I168" i="5"/>
  <c r="H168" i="5"/>
  <c r="G168" i="5"/>
  <c r="F168" i="5"/>
  <c r="E168" i="5"/>
  <c r="E88" i="6"/>
  <c r="E86" i="6"/>
  <c r="D115" i="6" s="1"/>
  <c r="G3" i="6"/>
  <c r="C16" i="6"/>
  <c r="L115" i="5"/>
  <c r="K115" i="5"/>
  <c r="J115" i="5"/>
  <c r="I115" i="5"/>
  <c r="H115" i="5"/>
  <c r="G115" i="5"/>
  <c r="F115" i="5"/>
  <c r="E115" i="5"/>
  <c r="C104" i="5"/>
  <c r="N72" i="5"/>
  <c r="I72" i="5"/>
  <c r="B72" i="5"/>
  <c r="P58" i="5"/>
  <c r="R36" i="5"/>
  <c r="O36" i="5"/>
  <c r="L36" i="5"/>
  <c r="G36" i="5"/>
  <c r="R35" i="5"/>
  <c r="O35" i="5"/>
  <c r="L35" i="5"/>
  <c r="G35" i="5"/>
  <c r="R34" i="5"/>
  <c r="O34" i="5"/>
  <c r="L34" i="5"/>
  <c r="G34" i="5"/>
  <c r="R33" i="5"/>
  <c r="O33" i="5"/>
  <c r="L33" i="5"/>
  <c r="G33" i="5"/>
  <c r="R32" i="5"/>
  <c r="O32" i="5"/>
  <c r="L32" i="5"/>
  <c r="G32" i="5"/>
  <c r="R31" i="5"/>
  <c r="O31" i="5"/>
  <c r="L31" i="5"/>
  <c r="G31" i="5"/>
  <c r="R30" i="5"/>
  <c r="O30" i="5"/>
  <c r="L30" i="5"/>
  <c r="G30" i="5"/>
  <c r="R29" i="5"/>
  <c r="O29" i="5"/>
  <c r="L29" i="5"/>
  <c r="G29" i="5"/>
  <c r="R28" i="5"/>
  <c r="O28" i="5"/>
  <c r="L28" i="5"/>
  <c r="G28" i="5"/>
  <c r="D15" i="5"/>
  <c r="E26" i="6" l="1"/>
  <c r="E27" i="6" s="1"/>
  <c r="E24" i="6"/>
  <c r="E20" i="6"/>
  <c r="C14" i="6"/>
  <c r="C18" i="6" s="1"/>
  <c r="D17" i="5"/>
  <c r="E41" i="5" s="1"/>
  <c r="F41" i="5" s="1"/>
  <c r="C56" i="5" s="1"/>
  <c r="E119" i="5" s="1"/>
  <c r="D16" i="5"/>
  <c r="E33" i="6" l="1"/>
  <c r="E40" i="6" s="1"/>
  <c r="E45" i="5"/>
  <c r="F45" i="5" s="1"/>
  <c r="C60" i="5" s="1"/>
  <c r="I119" i="5" s="1"/>
  <c r="E46" i="5"/>
  <c r="F46" i="5" s="1"/>
  <c r="C61" i="5" s="1"/>
  <c r="J119" i="5" s="1"/>
  <c r="E42" i="5"/>
  <c r="F42" i="5" s="1"/>
  <c r="C57" i="5" s="1"/>
  <c r="F119" i="5" s="1"/>
  <c r="E48" i="5"/>
  <c r="F48" i="5" s="1"/>
  <c r="C63" i="5" s="1"/>
  <c r="L119" i="5" s="1"/>
  <c r="E44" i="5"/>
  <c r="F44" i="5" s="1"/>
  <c r="C59" i="5" s="1"/>
  <c r="H119" i="5" s="1"/>
  <c r="E30" i="6"/>
  <c r="E31" i="6" s="1"/>
  <c r="N47" i="5"/>
  <c r="N45" i="5"/>
  <c r="N42" i="5"/>
  <c r="C48" i="5"/>
  <c r="L117" i="5" s="1"/>
  <c r="C47" i="5"/>
  <c r="K117" i="5" s="1"/>
  <c r="C46" i="5"/>
  <c r="J117" i="5" s="1"/>
  <c r="C45" i="5"/>
  <c r="I117" i="5" s="1"/>
  <c r="C44" i="5"/>
  <c r="H117" i="5" s="1"/>
  <c r="C43" i="5"/>
  <c r="G117" i="5" s="1"/>
  <c r="C42" i="5"/>
  <c r="F117" i="5" s="1"/>
  <c r="C41" i="5"/>
  <c r="E117" i="5" s="1"/>
  <c r="N46" i="5"/>
  <c r="N43" i="5"/>
  <c r="N48" i="5"/>
  <c r="N44" i="5"/>
  <c r="N41" i="5"/>
  <c r="H48" i="5"/>
  <c r="L118" i="5" s="1"/>
  <c r="H47" i="5"/>
  <c r="K118" i="5" s="1"/>
  <c r="H46" i="5"/>
  <c r="J118" i="5" s="1"/>
  <c r="H45" i="5"/>
  <c r="I118" i="5" s="1"/>
  <c r="H44" i="5"/>
  <c r="H118" i="5" s="1"/>
  <c r="H43" i="5"/>
  <c r="G118" i="5" s="1"/>
  <c r="H42" i="5"/>
  <c r="H41" i="5"/>
  <c r="E47" i="5"/>
  <c r="F47" i="5" s="1"/>
  <c r="E43" i="5"/>
  <c r="F43" i="5" s="1"/>
  <c r="E38" i="6" l="1"/>
  <c r="E49" i="6" s="1"/>
  <c r="H124" i="5"/>
  <c r="H126" i="5" s="1"/>
  <c r="H133" i="5" s="1"/>
  <c r="L124" i="5"/>
  <c r="L126" i="5" s="1"/>
  <c r="L131" i="5" s="1"/>
  <c r="I124" i="5"/>
  <c r="I126" i="5" s="1"/>
  <c r="I133" i="5" s="1"/>
  <c r="J124" i="5"/>
  <c r="J126" i="5" s="1"/>
  <c r="J133" i="5" s="1"/>
  <c r="K116" i="5"/>
  <c r="K114" i="5"/>
  <c r="L114" i="5"/>
  <c r="L116" i="5"/>
  <c r="G116" i="5"/>
  <c r="G114" i="5"/>
  <c r="F56" i="5"/>
  <c r="E127" i="5" s="1"/>
  <c r="E118" i="5"/>
  <c r="E124" i="5" s="1"/>
  <c r="E126" i="5" s="1"/>
  <c r="E133" i="5" s="1"/>
  <c r="P41" i="5"/>
  <c r="E116" i="5"/>
  <c r="E114" i="5"/>
  <c r="F57" i="5"/>
  <c r="F127" i="5" s="1"/>
  <c r="F118" i="5"/>
  <c r="F124" i="5" s="1"/>
  <c r="F126" i="5" s="1"/>
  <c r="F131" i="5" s="1"/>
  <c r="P44" i="5"/>
  <c r="H114" i="5"/>
  <c r="H116" i="5"/>
  <c r="P46" i="5"/>
  <c r="J116" i="5"/>
  <c r="J114" i="5"/>
  <c r="P48" i="5"/>
  <c r="P42" i="5"/>
  <c r="F116" i="5"/>
  <c r="F114" i="5"/>
  <c r="P45" i="5"/>
  <c r="I116" i="5"/>
  <c r="I114" i="5"/>
  <c r="G4" i="6"/>
  <c r="F5" i="6" s="1"/>
  <c r="H57" i="5"/>
  <c r="F140" i="5" s="1"/>
  <c r="C58" i="5"/>
  <c r="G119" i="5" s="1"/>
  <c r="G124" i="5" s="1"/>
  <c r="G126" i="5" s="1"/>
  <c r="G131" i="5" s="1"/>
  <c r="P43" i="5"/>
  <c r="C62" i="5"/>
  <c r="K119" i="5" s="1"/>
  <c r="K124" i="5" s="1"/>
  <c r="K126" i="5" s="1"/>
  <c r="K131" i="5" s="1"/>
  <c r="P47" i="5"/>
  <c r="F63" i="5"/>
  <c r="L127" i="5" s="1"/>
  <c r="H63" i="5"/>
  <c r="L140" i="5" s="1"/>
  <c r="L138" i="5" s="1"/>
  <c r="H59" i="5"/>
  <c r="H140" i="5" s="1"/>
  <c r="F59" i="5"/>
  <c r="H127" i="5" s="1"/>
  <c r="H56" i="5"/>
  <c r="E140" i="5" s="1"/>
  <c r="H61" i="5"/>
  <c r="J140" i="5" s="1"/>
  <c r="J138" i="5" s="1"/>
  <c r="F61" i="5"/>
  <c r="J127" i="5" s="1"/>
  <c r="H60" i="5"/>
  <c r="I140" i="5" s="1"/>
  <c r="F60" i="5"/>
  <c r="I127" i="5" s="1"/>
  <c r="E50" i="6" l="1"/>
  <c r="E52" i="6" s="1"/>
  <c r="E53" i="6" s="1"/>
  <c r="E44" i="6"/>
  <c r="H131" i="5"/>
  <c r="H139" i="5" s="1"/>
  <c r="J131" i="5"/>
  <c r="J139" i="5" s="1"/>
  <c r="L122" i="5"/>
  <c r="K122" i="5"/>
  <c r="L133" i="5"/>
  <c r="L137" i="5" s="1"/>
  <c r="E131" i="5"/>
  <c r="E137" i="5" s="1"/>
  <c r="I131" i="5"/>
  <c r="I137" i="5" s="1"/>
  <c r="K133" i="5"/>
  <c r="K137" i="5" s="1"/>
  <c r="H122" i="5"/>
  <c r="E122" i="5"/>
  <c r="J146" i="5"/>
  <c r="J148" i="5"/>
  <c r="J144" i="5"/>
  <c r="F133" i="5"/>
  <c r="F137" i="5" s="1"/>
  <c r="F138" i="5"/>
  <c r="F122" i="5"/>
  <c r="G122" i="5"/>
  <c r="L148" i="5"/>
  <c r="L144" i="5"/>
  <c r="L146" i="5"/>
  <c r="I122" i="5"/>
  <c r="J122" i="5"/>
  <c r="G133" i="5"/>
  <c r="G137" i="5" s="1"/>
  <c r="G5" i="6"/>
  <c r="F8" i="6"/>
  <c r="G8" i="6" s="1"/>
  <c r="H62" i="5"/>
  <c r="K140" i="5" s="1"/>
  <c r="K138" i="5" s="1"/>
  <c r="K144" i="5" s="1"/>
  <c r="F62" i="5"/>
  <c r="K127" i="5" s="1"/>
  <c r="H58" i="5"/>
  <c r="H138" i="5" s="1"/>
  <c r="H148" i="5" s="1"/>
  <c r="F58" i="5"/>
  <c r="G127" i="5" s="1"/>
  <c r="K148" i="5" l="1"/>
  <c r="K146" i="5"/>
  <c r="H146" i="5"/>
  <c r="H144" i="5"/>
  <c r="G140" i="5"/>
  <c r="G138" i="5" s="1"/>
  <c r="E95" i="6"/>
  <c r="E97" i="6" s="1"/>
  <c r="D112" i="6" s="1"/>
  <c r="D113" i="6" s="1"/>
  <c r="D116" i="6" s="1"/>
  <c r="K72" i="5"/>
  <c r="J137" i="5"/>
  <c r="J143" i="5" s="1"/>
  <c r="L139" i="5"/>
  <c r="L147" i="5" s="1"/>
  <c r="H137" i="5"/>
  <c r="H147" i="5" s="1"/>
  <c r="E58" i="6"/>
  <c r="E166" i="5" s="1"/>
  <c r="E56" i="6"/>
  <c r="E66" i="6" s="1"/>
  <c r="K139" i="5"/>
  <c r="K147" i="5" s="1"/>
  <c r="E139" i="5"/>
  <c r="E145" i="5" s="1"/>
  <c r="I139" i="5"/>
  <c r="I143" i="5" s="1"/>
  <c r="G139" i="5"/>
  <c r="G147" i="5" s="1"/>
  <c r="F139" i="5"/>
  <c r="F143" i="5" s="1"/>
  <c r="F148" i="5"/>
  <c r="F144" i="5"/>
  <c r="F146" i="5"/>
  <c r="E117" i="6" l="1"/>
  <c r="C24" i="1" s="1"/>
  <c r="G146" i="5"/>
  <c r="G144" i="5"/>
  <c r="G148" i="5"/>
  <c r="C25" i="1"/>
  <c r="J145" i="5"/>
  <c r="J150" i="5" s="1"/>
  <c r="J147" i="5"/>
  <c r="J178" i="5" s="1"/>
  <c r="H145" i="5"/>
  <c r="H143" i="5"/>
  <c r="L143" i="5"/>
  <c r="L145" i="5"/>
  <c r="G145" i="5"/>
  <c r="K166" i="5"/>
  <c r="L166" i="5"/>
  <c r="K164" i="5"/>
  <c r="E68" i="6"/>
  <c r="E76" i="6" s="1"/>
  <c r="E77" i="6" s="1"/>
  <c r="E78" i="6" s="1"/>
  <c r="O72" i="5" s="1"/>
  <c r="F166" i="5"/>
  <c r="E164" i="5"/>
  <c r="E170" i="5" s="1"/>
  <c r="G164" i="5"/>
  <c r="E70" i="6"/>
  <c r="H166" i="5"/>
  <c r="H164" i="5"/>
  <c r="I166" i="5"/>
  <c r="I164" i="5"/>
  <c r="J166" i="5"/>
  <c r="J164" i="5"/>
  <c r="G166" i="5"/>
  <c r="F164" i="5"/>
  <c r="L164" i="5"/>
  <c r="G143" i="5"/>
  <c r="K145" i="5"/>
  <c r="K143" i="5"/>
  <c r="E147" i="5"/>
  <c r="E178" i="5" s="1"/>
  <c r="E143" i="5"/>
  <c r="F145" i="5"/>
  <c r="E176" i="5"/>
  <c r="I147" i="5"/>
  <c r="I178" i="5" s="1"/>
  <c r="I145" i="5"/>
  <c r="I150" i="5" s="1"/>
  <c r="F147" i="5"/>
  <c r="F178" i="5" s="1"/>
  <c r="L178" i="5"/>
  <c r="K178" i="5"/>
  <c r="G178" i="5"/>
  <c r="H178" i="5"/>
  <c r="E79" i="6" l="1"/>
  <c r="F174" i="5"/>
  <c r="F193" i="5" s="1"/>
  <c r="J154" i="5"/>
  <c r="J153" i="5"/>
  <c r="J155" i="5"/>
  <c r="J156" i="5" s="1"/>
  <c r="J151" i="5"/>
  <c r="J159" i="5"/>
  <c r="J61" i="5" s="1"/>
  <c r="J176" i="5"/>
  <c r="J197" i="5" s="1"/>
  <c r="L176" i="5"/>
  <c r="L195" i="5" s="1"/>
  <c r="K174" i="5"/>
  <c r="K193" i="5" s="1"/>
  <c r="E83" i="6"/>
  <c r="E84" i="6" s="1"/>
  <c r="J170" i="5"/>
  <c r="H151" i="5"/>
  <c r="H155" i="5"/>
  <c r="H153" i="5"/>
  <c r="H154" i="5"/>
  <c r="L170" i="5"/>
  <c r="H176" i="5"/>
  <c r="H195" i="5" s="1"/>
  <c r="H159" i="5"/>
  <c r="J59" i="5" s="1"/>
  <c r="H150" i="5"/>
  <c r="G176" i="5"/>
  <c r="G197" i="5" s="1"/>
  <c r="G151" i="5"/>
  <c r="K170" i="5"/>
  <c r="F170" i="5"/>
  <c r="H170" i="5"/>
  <c r="G170" i="5"/>
  <c r="L159" i="5"/>
  <c r="J63" i="5" s="1"/>
  <c r="I170" i="5"/>
  <c r="L155" i="5"/>
  <c r="L156" i="5" s="1"/>
  <c r="L150" i="5"/>
  <c r="L153" i="5"/>
  <c r="L151" i="5"/>
  <c r="L154" i="5"/>
  <c r="L174" i="5"/>
  <c r="H174" i="5"/>
  <c r="H193" i="5" s="1"/>
  <c r="E74" i="6"/>
  <c r="E81" i="6" s="1"/>
  <c r="D105" i="6" s="1"/>
  <c r="I174" i="5"/>
  <c r="I193" i="5" s="1"/>
  <c r="E174" i="5"/>
  <c r="E193" i="5" s="1"/>
  <c r="J174" i="5"/>
  <c r="F176" i="5"/>
  <c r="F195" i="5" s="1"/>
  <c r="G174" i="5"/>
  <c r="G153" i="5"/>
  <c r="G159" i="5"/>
  <c r="G150" i="5"/>
  <c r="G154" i="5"/>
  <c r="G155" i="5"/>
  <c r="G156" i="5" s="1"/>
  <c r="I159" i="5"/>
  <c r="J60" i="5" s="1"/>
  <c r="I154" i="5"/>
  <c r="K154" i="5"/>
  <c r="K151" i="5"/>
  <c r="K176" i="5"/>
  <c r="K197" i="5" s="1"/>
  <c r="K150" i="5"/>
  <c r="F153" i="5"/>
  <c r="K159" i="5"/>
  <c r="J62" i="5" s="1"/>
  <c r="K155" i="5"/>
  <c r="K156" i="5" s="1"/>
  <c r="F150" i="5"/>
  <c r="K153" i="5"/>
  <c r="E159" i="5"/>
  <c r="J56" i="5" s="1"/>
  <c r="E153" i="5"/>
  <c r="E151" i="5"/>
  <c r="E155" i="5"/>
  <c r="E156" i="5" s="1"/>
  <c r="F151" i="5"/>
  <c r="E154" i="5"/>
  <c r="F159" i="5"/>
  <c r="J57" i="5" s="1"/>
  <c r="E150" i="5"/>
  <c r="I176" i="5"/>
  <c r="I197" i="5" s="1"/>
  <c r="I151" i="5"/>
  <c r="F155" i="5"/>
  <c r="F156" i="5" s="1"/>
  <c r="I153" i="5"/>
  <c r="F154" i="5"/>
  <c r="I155" i="5"/>
  <c r="I156" i="5" s="1"/>
  <c r="E195" i="5"/>
  <c r="E197" i="5"/>
  <c r="H156" i="5" l="1"/>
  <c r="E138" i="5"/>
  <c r="E128" i="6"/>
  <c r="D22" i="1" s="1"/>
  <c r="P72" i="5"/>
  <c r="J58" i="5"/>
  <c r="J195" i="5"/>
  <c r="L197" i="5"/>
  <c r="J183" i="5"/>
  <c r="J184" i="5" s="1"/>
  <c r="K78" i="5" s="1"/>
  <c r="L186" i="5"/>
  <c r="L187" i="5" s="1"/>
  <c r="L80" i="5" s="1"/>
  <c r="G181" i="5"/>
  <c r="G195" i="5"/>
  <c r="H197" i="5"/>
  <c r="H207" i="5" s="1"/>
  <c r="H183" i="5"/>
  <c r="H184" i="5" s="1"/>
  <c r="K76" i="5" s="1"/>
  <c r="H186" i="5"/>
  <c r="H187" i="5" s="1"/>
  <c r="L76" i="5" s="1"/>
  <c r="H181" i="5"/>
  <c r="G183" i="5"/>
  <c r="G184" i="5" s="1"/>
  <c r="K195" i="5"/>
  <c r="K203" i="5" s="1"/>
  <c r="L181" i="5"/>
  <c r="G186" i="5"/>
  <c r="G187" i="5" s="1"/>
  <c r="L183" i="5"/>
  <c r="L184" i="5" s="1"/>
  <c r="K80" i="5" s="1"/>
  <c r="L193" i="5"/>
  <c r="L203" i="5" s="1"/>
  <c r="G101" i="6"/>
  <c r="F197" i="5"/>
  <c r="F201" i="5" s="1"/>
  <c r="N57" i="5" s="1"/>
  <c r="E103" i="6"/>
  <c r="E104" i="6" s="1"/>
  <c r="F181" i="5"/>
  <c r="F186" i="5"/>
  <c r="F187" i="5" s="1"/>
  <c r="L74" i="5" s="1"/>
  <c r="E123" i="6"/>
  <c r="D21" i="1" s="1"/>
  <c r="M102" i="6"/>
  <c r="M101" i="6"/>
  <c r="N102" i="6" s="1"/>
  <c r="J193" i="5"/>
  <c r="F183" i="5"/>
  <c r="F184" i="5" s="1"/>
  <c r="K74" i="5" s="1"/>
  <c r="G193" i="5"/>
  <c r="J186" i="5"/>
  <c r="J187" i="5" s="1"/>
  <c r="L78" i="5" s="1"/>
  <c r="E183" i="5"/>
  <c r="E184" i="5" s="1"/>
  <c r="K73" i="5" s="1"/>
  <c r="E186" i="5"/>
  <c r="E187" i="5" s="1"/>
  <c r="L73" i="5" s="1"/>
  <c r="E181" i="5"/>
  <c r="J181" i="5"/>
  <c r="I186" i="5"/>
  <c r="I187" i="5" s="1"/>
  <c r="L77" i="5" s="1"/>
  <c r="I195" i="5"/>
  <c r="I203" i="5" s="1"/>
  <c r="P110" i="1" s="1"/>
  <c r="A133" i="1" s="1"/>
  <c r="I183" i="5"/>
  <c r="I184" i="5" s="1"/>
  <c r="K77" i="5" s="1"/>
  <c r="K186" i="5"/>
  <c r="K187" i="5" s="1"/>
  <c r="L79" i="5" s="1"/>
  <c r="K183" i="5"/>
  <c r="K184" i="5" s="1"/>
  <c r="K79" i="5" s="1"/>
  <c r="I181" i="5"/>
  <c r="K181" i="5"/>
  <c r="E207" i="5"/>
  <c r="F203" i="5"/>
  <c r="H203" i="5"/>
  <c r="E203" i="5"/>
  <c r="E204" i="5" s="1"/>
  <c r="O73" i="5" s="1"/>
  <c r="E201" i="5"/>
  <c r="N56" i="5" s="1"/>
  <c r="D107" i="6" l="1"/>
  <c r="E108" i="6" s="1"/>
  <c r="C26" i="1" s="1"/>
  <c r="D120" i="6"/>
  <c r="E121" i="6" s="1"/>
  <c r="C21" i="1" s="1"/>
  <c r="E144" i="5"/>
  <c r="E146" i="5"/>
  <c r="E148" i="5"/>
  <c r="O113" i="1"/>
  <c r="O115" i="1" s="1"/>
  <c r="P76" i="5"/>
  <c r="L113" i="1"/>
  <c r="L115" i="1" s="1"/>
  <c r="P73" i="5"/>
  <c r="J207" i="5"/>
  <c r="G201" i="5"/>
  <c r="G203" i="5"/>
  <c r="N110" i="1" s="1"/>
  <c r="H201" i="5"/>
  <c r="N59" i="5" s="1"/>
  <c r="F207" i="5"/>
  <c r="K201" i="5"/>
  <c r="N62" i="5" s="1"/>
  <c r="J201" i="5"/>
  <c r="N61" i="5" s="1"/>
  <c r="G207" i="5"/>
  <c r="N113" i="1" s="1"/>
  <c r="N115" i="1" s="1"/>
  <c r="J203" i="5"/>
  <c r="Q110" i="1" s="1"/>
  <c r="A138" i="1" s="1"/>
  <c r="K207" i="5"/>
  <c r="L207" i="5"/>
  <c r="L201" i="5"/>
  <c r="N63" i="5" s="1"/>
  <c r="I201" i="5"/>
  <c r="N60" i="5" s="1"/>
  <c r="D125" i="6"/>
  <c r="E126" i="6" s="1"/>
  <c r="I204" i="5"/>
  <c r="O77" i="5" s="1"/>
  <c r="I207" i="5"/>
  <c r="I205" i="5"/>
  <c r="P111" i="1" s="1"/>
  <c r="S110" i="1"/>
  <c r="A148" i="1" s="1"/>
  <c r="L204" i="5"/>
  <c r="O80" i="5" s="1"/>
  <c r="L205" i="5"/>
  <c r="S111" i="1" s="1"/>
  <c r="L110" i="1"/>
  <c r="A118" i="1" s="1"/>
  <c r="E205" i="5"/>
  <c r="L111" i="1" s="1"/>
  <c r="O110" i="1"/>
  <c r="A128" i="1" s="1"/>
  <c r="H204" i="5"/>
  <c r="O76" i="5" s="1"/>
  <c r="H205" i="5"/>
  <c r="O111" i="1" s="1"/>
  <c r="R110" i="1"/>
  <c r="A143" i="1" s="1"/>
  <c r="K205" i="5"/>
  <c r="R111" i="1" s="1"/>
  <c r="K204" i="5"/>
  <c r="O79" i="5" s="1"/>
  <c r="M110" i="1"/>
  <c r="A123" i="1" s="1"/>
  <c r="F205" i="5"/>
  <c r="M111" i="1" s="1"/>
  <c r="F204" i="5"/>
  <c r="O74" i="5" s="1"/>
  <c r="S113" i="1" l="1"/>
  <c r="S115" i="1" s="1"/>
  <c r="E148" i="1" s="1"/>
  <c r="P80" i="5"/>
  <c r="R113" i="1"/>
  <c r="R115" i="1" s="1"/>
  <c r="E143" i="1" s="1"/>
  <c r="P79" i="5"/>
  <c r="Q113" i="1"/>
  <c r="Q115" i="1" s="1"/>
  <c r="E139" i="1" s="1"/>
  <c r="P78" i="5"/>
  <c r="P113" i="1"/>
  <c r="P115" i="1" s="1"/>
  <c r="E133" i="1" s="1"/>
  <c r="P77" i="5"/>
  <c r="M113" i="1"/>
  <c r="M115" i="1" s="1"/>
  <c r="E124" i="1" s="1"/>
  <c r="P74" i="5"/>
  <c r="C22" i="1"/>
  <c r="G204" i="5"/>
  <c r="G205" i="5"/>
  <c r="N111" i="1" s="1"/>
  <c r="J205" i="5"/>
  <c r="Q111" i="1" s="1"/>
  <c r="J204" i="5"/>
  <c r="O78" i="5" s="1"/>
  <c r="E129" i="1"/>
  <c r="E128" i="1"/>
  <c r="E119" i="1"/>
  <c r="E118" i="1"/>
  <c r="E144" i="1" l="1"/>
  <c r="E138" i="1"/>
  <c r="E149" i="1"/>
  <c r="E134" i="1"/>
  <c r="E123" i="1"/>
  <c r="J88" i="5"/>
  <c r="K88" i="5" s="1"/>
  <c r="L88" i="5" s="1"/>
  <c r="H160" i="5" l="1"/>
  <c r="J160" i="5"/>
  <c r="K160" i="5"/>
  <c r="L160" i="5"/>
  <c r="L61" i="5" l="1"/>
  <c r="C78" i="5"/>
  <c r="D78" i="5"/>
  <c r="L62" i="5"/>
  <c r="D79" i="5"/>
  <c r="C79" i="5"/>
  <c r="L63" i="5"/>
  <c r="D80" i="5"/>
  <c r="C80" i="5"/>
  <c r="L59" i="5"/>
  <c r="D76" i="5"/>
  <c r="C76" i="5"/>
  <c r="J86" i="5" l="1"/>
  <c r="K86" i="5" s="1"/>
  <c r="L86" i="5" s="1"/>
  <c r="E160" i="5"/>
  <c r="J89" i="5"/>
  <c r="K89" i="5" s="1"/>
  <c r="L89" i="5" s="1"/>
  <c r="F160" i="5"/>
  <c r="G160" i="5" s="1"/>
  <c r="J92" i="5"/>
  <c r="K92" i="5" s="1"/>
  <c r="L92" i="5" s="1"/>
  <c r="J91" i="5"/>
  <c r="K91" i="5" s="1"/>
  <c r="L91" i="5" s="1"/>
  <c r="J93" i="5"/>
  <c r="K93" i="5" s="1"/>
  <c r="L93" i="5" s="1"/>
  <c r="I160" i="5"/>
  <c r="P61" i="5" l="1"/>
  <c r="L60" i="5"/>
  <c r="C77" i="5"/>
  <c r="D77" i="5"/>
  <c r="P62" i="5"/>
  <c r="J90" i="5"/>
  <c r="K90" i="5" s="1"/>
  <c r="L90" i="5" s="1"/>
  <c r="P59" i="5"/>
  <c r="L58" i="5"/>
  <c r="D75" i="5"/>
  <c r="C75" i="5"/>
  <c r="P63" i="5"/>
  <c r="J87" i="5"/>
  <c r="K87" i="5" s="1"/>
  <c r="L87" i="5" s="1"/>
  <c r="P56" i="5"/>
  <c r="L56" i="5"/>
  <c r="I138" i="5" s="1"/>
  <c r="D73" i="5"/>
  <c r="C73" i="5"/>
  <c r="L57" i="5"/>
  <c r="C74" i="5"/>
  <c r="D74" i="5"/>
  <c r="I146" i="5" l="1"/>
  <c r="I148" i="5"/>
  <c r="I144" i="5"/>
  <c r="G73" i="5"/>
  <c r="F77" i="5"/>
  <c r="F74" i="5"/>
  <c r="G76" i="5"/>
  <c r="G75" i="5"/>
  <c r="G72" i="5"/>
  <c r="G78" i="5"/>
  <c r="G80" i="5"/>
  <c r="G79" i="5"/>
  <c r="P60" i="5"/>
  <c r="G74" i="5"/>
  <c r="G77" i="5"/>
  <c r="P57" i="5"/>
  <c r="F73" i="5"/>
  <c r="F75" i="5"/>
  <c r="F72" i="5"/>
  <c r="F80" i="5"/>
  <c r="F76" i="5"/>
  <c r="F78" i="5"/>
  <c r="F79" i="5"/>
  <c r="H98" i="4" l="1"/>
  <c r="C8" i="3" l="1"/>
  <c r="B20" i="3" l="1"/>
  <c r="D20" i="3" s="1"/>
  <c r="B21" i="3"/>
  <c r="D21" i="3"/>
  <c r="E21" i="3"/>
  <c r="B22" i="3"/>
  <c r="D22" i="3" s="1"/>
  <c r="E22" i="3"/>
  <c r="B23" i="3"/>
  <c r="B24" i="3"/>
  <c r="D24" i="3"/>
  <c r="E24" i="3"/>
  <c r="B25" i="3"/>
  <c r="E25" i="3" s="1"/>
  <c r="D25" i="3"/>
  <c r="B26" i="3"/>
  <c r="E26" i="3" s="1"/>
  <c r="D26" i="3"/>
  <c r="B27" i="3"/>
  <c r="D27" i="3"/>
  <c r="E27" i="3"/>
  <c r="B28" i="3"/>
  <c r="D28" i="3" s="1"/>
  <c r="E28" i="3"/>
  <c r="B29" i="3"/>
  <c r="D29" i="3" s="1"/>
  <c r="B30" i="3"/>
  <c r="D30" i="3" s="1"/>
  <c r="E30" i="3"/>
  <c r="B31" i="3"/>
  <c r="B32" i="3"/>
  <c r="D32" i="3"/>
  <c r="E32" i="3"/>
  <c r="B33" i="3"/>
  <c r="E33" i="3" s="1"/>
  <c r="D33" i="3"/>
  <c r="B34" i="3"/>
  <c r="E34" i="3" s="1"/>
  <c r="D34" i="3"/>
  <c r="B35" i="3"/>
  <c r="D35" i="3"/>
  <c r="E35" i="3"/>
  <c r="B36" i="3"/>
  <c r="D36" i="3" s="1"/>
  <c r="E36" i="3"/>
  <c r="B37" i="3"/>
  <c r="E37" i="3" s="1"/>
  <c r="D37" i="3"/>
  <c r="B38" i="3"/>
  <c r="D38" i="3" s="1"/>
  <c r="E38" i="3"/>
  <c r="B39" i="3"/>
  <c r="B40" i="3"/>
  <c r="E40" i="3" s="1"/>
  <c r="D40" i="3"/>
  <c r="B41" i="3"/>
  <c r="E41" i="3" s="1"/>
  <c r="D41" i="3"/>
  <c r="B42" i="3"/>
  <c r="E42" i="3" s="1"/>
  <c r="D42" i="3"/>
  <c r="B43" i="3"/>
  <c r="D43" i="3"/>
  <c r="E43" i="3"/>
  <c r="B44" i="3"/>
  <c r="D44" i="3" s="1"/>
  <c r="E44" i="3"/>
  <c r="B45" i="3"/>
  <c r="D45" i="3"/>
  <c r="E45" i="3"/>
  <c r="B46" i="3"/>
  <c r="D46" i="3" s="1"/>
  <c r="E46" i="3"/>
  <c r="B47" i="3"/>
  <c r="B48" i="3"/>
  <c r="D48" i="3"/>
  <c r="E48" i="3"/>
  <c r="B49" i="3"/>
  <c r="E49" i="3" s="1"/>
  <c r="D49" i="3"/>
  <c r="B50" i="3"/>
  <c r="E50" i="3" s="1"/>
  <c r="D50" i="3"/>
  <c r="B51" i="3"/>
  <c r="D51" i="3"/>
  <c r="E51" i="3"/>
  <c r="B52" i="3"/>
  <c r="D52" i="3" s="1"/>
  <c r="E52" i="3"/>
  <c r="B53" i="3"/>
  <c r="D53" i="3"/>
  <c r="E53" i="3"/>
  <c r="B54" i="3"/>
  <c r="D54" i="3" s="1"/>
  <c r="E54" i="3"/>
  <c r="B55" i="3"/>
  <c r="B56" i="3"/>
  <c r="D56" i="3"/>
  <c r="E56" i="3"/>
  <c r="B57" i="3"/>
  <c r="E57" i="3" s="1"/>
  <c r="D57" i="3"/>
  <c r="B58" i="3"/>
  <c r="E58" i="3" s="1"/>
  <c r="D58" i="3"/>
  <c r="B59" i="3"/>
  <c r="D59" i="3"/>
  <c r="E59" i="3"/>
  <c r="B60" i="3"/>
  <c r="D60" i="3" s="1"/>
  <c r="E60" i="3"/>
  <c r="B61" i="3"/>
  <c r="D61" i="3"/>
  <c r="E61" i="3"/>
  <c r="B62" i="3"/>
  <c r="D62" i="3" s="1"/>
  <c r="E62" i="3"/>
  <c r="B63" i="3"/>
  <c r="B64" i="3"/>
  <c r="D64" i="3"/>
  <c r="E64" i="3"/>
  <c r="B65" i="3"/>
  <c r="E65" i="3" s="1"/>
  <c r="D65" i="3"/>
  <c r="B66" i="3"/>
  <c r="E66" i="3" s="1"/>
  <c r="D66" i="3"/>
  <c r="B67" i="3"/>
  <c r="D67" i="3"/>
  <c r="E67" i="3"/>
  <c r="B68" i="3"/>
  <c r="D68" i="3"/>
  <c r="E68" i="3"/>
  <c r="B69" i="3"/>
  <c r="B70" i="3"/>
  <c r="D70" i="3" s="1"/>
  <c r="E70" i="3"/>
  <c r="B71" i="3"/>
  <c r="B72" i="3"/>
  <c r="B73" i="3"/>
  <c r="E73" i="3" s="1"/>
  <c r="D73" i="3"/>
  <c r="B74" i="3"/>
  <c r="B75" i="3"/>
  <c r="D75" i="3"/>
  <c r="E75" i="3"/>
  <c r="B76" i="3"/>
  <c r="D76" i="3"/>
  <c r="E76" i="3"/>
  <c r="B77" i="3"/>
  <c r="D77" i="3"/>
  <c r="E77" i="3"/>
  <c r="B78" i="3"/>
  <c r="D78" i="3" s="1"/>
  <c r="E78" i="3"/>
  <c r="B79" i="3"/>
  <c r="B80" i="3"/>
  <c r="D80" i="3"/>
  <c r="E80" i="3"/>
  <c r="B81" i="3"/>
  <c r="E81" i="3" s="1"/>
  <c r="D81" i="3"/>
  <c r="B82" i="3"/>
  <c r="E82" i="3" s="1"/>
  <c r="D82" i="3"/>
  <c r="B83" i="3"/>
  <c r="D83" i="3"/>
  <c r="E83" i="3"/>
  <c r="B84" i="3"/>
  <c r="D84" i="3"/>
  <c r="E84" i="3"/>
  <c r="B85" i="3"/>
  <c r="E85" i="3" s="1"/>
  <c r="D85" i="3"/>
  <c r="B86" i="3"/>
  <c r="D86" i="3" s="1"/>
  <c r="E86" i="3"/>
  <c r="B87" i="3"/>
  <c r="B88" i="3"/>
  <c r="E88" i="3" s="1"/>
  <c r="D88" i="3"/>
  <c r="B89" i="3"/>
  <c r="E89" i="3" s="1"/>
  <c r="D89" i="3"/>
  <c r="B90" i="3"/>
  <c r="E90" i="3" s="1"/>
  <c r="D90" i="3"/>
  <c r="B91" i="3"/>
  <c r="D91" i="3"/>
  <c r="E91" i="3"/>
  <c r="B92" i="3"/>
  <c r="D92" i="3"/>
  <c r="E92" i="3"/>
  <c r="B93" i="3"/>
  <c r="D93" i="3"/>
  <c r="E93" i="3"/>
  <c r="B94" i="3"/>
  <c r="D94" i="3" s="1"/>
  <c r="E94" i="3"/>
  <c r="B95" i="3"/>
  <c r="B96" i="3"/>
  <c r="D96" i="3"/>
  <c r="E96" i="3"/>
  <c r="B97" i="3"/>
  <c r="E97" i="3" s="1"/>
  <c r="D97" i="3"/>
  <c r="B98" i="3"/>
  <c r="E98" i="3" s="1"/>
  <c r="D98" i="3"/>
  <c r="B99" i="3"/>
  <c r="D99" i="3"/>
  <c r="E99" i="3"/>
  <c r="B100" i="3"/>
  <c r="D100" i="3"/>
  <c r="E100" i="3"/>
  <c r="B101" i="3"/>
  <c r="D101" i="3"/>
  <c r="E101" i="3"/>
  <c r="B102" i="3"/>
  <c r="D102" i="3" s="1"/>
  <c r="E102" i="3"/>
  <c r="B103" i="3"/>
  <c r="B104" i="3"/>
  <c r="D104" i="3"/>
  <c r="E104" i="3"/>
  <c r="B105" i="3"/>
  <c r="E105" i="3" s="1"/>
  <c r="D105" i="3"/>
  <c r="B106" i="3"/>
  <c r="E106" i="3" s="1"/>
  <c r="D106" i="3"/>
  <c r="B107" i="3"/>
  <c r="D107" i="3"/>
  <c r="E107" i="3"/>
  <c r="B108" i="3"/>
  <c r="D108" i="3"/>
  <c r="E108" i="3"/>
  <c r="B109" i="3"/>
  <c r="E109" i="3" s="1"/>
  <c r="D109" i="3"/>
  <c r="B110" i="3"/>
  <c r="D110" i="3" s="1"/>
  <c r="E110" i="3"/>
  <c r="B111" i="3"/>
  <c r="B112" i="3"/>
  <c r="E112" i="3" s="1"/>
  <c r="B113" i="3"/>
  <c r="E113" i="3" s="1"/>
  <c r="D113" i="3"/>
  <c r="B114" i="3"/>
  <c r="E114" i="3" s="1"/>
  <c r="D114" i="3"/>
  <c r="B115" i="3"/>
  <c r="D115" i="3"/>
  <c r="E115" i="3"/>
  <c r="B116" i="3"/>
  <c r="D116" i="3"/>
  <c r="E116" i="3"/>
  <c r="B117" i="3"/>
  <c r="D117" i="3"/>
  <c r="E117" i="3"/>
  <c r="B118" i="3"/>
  <c r="D118" i="3" s="1"/>
  <c r="E118" i="3"/>
  <c r="B119" i="3"/>
  <c r="B120" i="3"/>
  <c r="D120" i="3"/>
  <c r="E120" i="3"/>
  <c r="B121" i="3"/>
  <c r="E121" i="3" s="1"/>
  <c r="D121" i="3"/>
  <c r="B122" i="3"/>
  <c r="E122" i="3" s="1"/>
  <c r="D122" i="3"/>
  <c r="B123" i="3"/>
  <c r="D123" i="3"/>
  <c r="E123" i="3"/>
  <c r="B124" i="3"/>
  <c r="D124" i="3"/>
  <c r="E124" i="3"/>
  <c r="B125" i="3"/>
  <c r="E125" i="3" s="1"/>
  <c r="D125" i="3"/>
  <c r="B126" i="3"/>
  <c r="D126" i="3" s="1"/>
  <c r="E126" i="3"/>
  <c r="B127" i="3"/>
  <c r="B128" i="3"/>
  <c r="B129" i="3"/>
  <c r="E129" i="3" s="1"/>
  <c r="D129" i="3"/>
  <c r="B130" i="3"/>
  <c r="B131" i="3"/>
  <c r="D131" i="3"/>
  <c r="E131" i="3"/>
  <c r="B132" i="3"/>
  <c r="D132" i="3"/>
  <c r="E132" i="3"/>
  <c r="B133" i="3"/>
  <c r="D133" i="3"/>
  <c r="E133" i="3"/>
  <c r="B134" i="3"/>
  <c r="D134" i="3" s="1"/>
  <c r="E134" i="3"/>
  <c r="B135" i="3"/>
  <c r="B136" i="3"/>
  <c r="D136" i="3"/>
  <c r="E136" i="3"/>
  <c r="B137" i="3"/>
  <c r="E137" i="3" s="1"/>
  <c r="D137" i="3"/>
  <c r="B138" i="3"/>
  <c r="E138" i="3" s="1"/>
  <c r="D138" i="3"/>
  <c r="B139" i="3"/>
  <c r="D139" i="3"/>
  <c r="E139" i="3"/>
  <c r="B140" i="3"/>
  <c r="D140" i="3"/>
  <c r="E140" i="3"/>
  <c r="B141" i="3"/>
  <c r="D141" i="3"/>
  <c r="E141" i="3"/>
  <c r="B142" i="3"/>
  <c r="D142" i="3" s="1"/>
  <c r="E142" i="3"/>
  <c r="B143" i="3"/>
  <c r="B144" i="3"/>
  <c r="D144" i="3"/>
  <c r="E144" i="3"/>
  <c r="B145" i="3"/>
  <c r="E145" i="3" s="1"/>
  <c r="D145" i="3"/>
  <c r="B146" i="3"/>
  <c r="E146" i="3" s="1"/>
  <c r="D146" i="3"/>
  <c r="B147" i="3"/>
  <c r="D147" i="3"/>
  <c r="E147" i="3"/>
  <c r="B148" i="3"/>
  <c r="D148" i="3"/>
  <c r="E148" i="3"/>
  <c r="B149" i="3"/>
  <c r="D149" i="3"/>
  <c r="E149" i="3"/>
  <c r="B150" i="3"/>
  <c r="D150" i="3" s="1"/>
  <c r="E150" i="3"/>
  <c r="B151" i="3"/>
  <c r="B152" i="3"/>
  <c r="E152" i="3" s="1"/>
  <c r="D152" i="3"/>
  <c r="B153" i="3"/>
  <c r="E153" i="3" s="1"/>
  <c r="D153" i="3"/>
  <c r="B154" i="3"/>
  <c r="E154" i="3" s="1"/>
  <c r="D154" i="3"/>
  <c r="B155" i="3"/>
  <c r="D155" i="3"/>
  <c r="E155" i="3"/>
  <c r="B156" i="3"/>
  <c r="D156" i="3"/>
  <c r="E156" i="3"/>
  <c r="B157" i="3"/>
  <c r="D157" i="3"/>
  <c r="E157" i="3"/>
  <c r="B158" i="3"/>
  <c r="D158" i="3" s="1"/>
  <c r="E158" i="3"/>
  <c r="B159" i="3"/>
  <c r="D159" i="3" s="1"/>
  <c r="E159" i="3"/>
  <c r="B160" i="3"/>
  <c r="E160" i="3" s="1"/>
  <c r="D160" i="3"/>
  <c r="B161" i="3"/>
  <c r="E161" i="3" s="1"/>
  <c r="D161" i="3"/>
  <c r="B162" i="3"/>
  <c r="E162" i="3" s="1"/>
  <c r="D162" i="3"/>
  <c r="B163" i="3"/>
  <c r="D163" i="3"/>
  <c r="E163" i="3"/>
  <c r="B164" i="3"/>
  <c r="D164" i="3"/>
  <c r="E164" i="3"/>
  <c r="B165" i="3"/>
  <c r="D165" i="3"/>
  <c r="E165" i="3"/>
  <c r="B166" i="3"/>
  <c r="D166" i="3" s="1"/>
  <c r="E166" i="3"/>
  <c r="B167" i="3"/>
  <c r="D167" i="3" s="1"/>
  <c r="E167" i="3"/>
  <c r="B168" i="3"/>
  <c r="D168" i="3"/>
  <c r="E168" i="3"/>
  <c r="B169" i="3"/>
  <c r="E169" i="3" s="1"/>
  <c r="D169" i="3"/>
  <c r="B170" i="3"/>
  <c r="E170" i="3" s="1"/>
  <c r="D170" i="3"/>
  <c r="B171" i="3"/>
  <c r="D171" i="3"/>
  <c r="E171" i="3"/>
  <c r="B172" i="3"/>
  <c r="D172" i="3"/>
  <c r="E172" i="3"/>
  <c r="B173" i="3"/>
  <c r="D173" i="3"/>
  <c r="E173" i="3"/>
  <c r="B174" i="3"/>
  <c r="D174" i="3" s="1"/>
  <c r="B175" i="3"/>
  <c r="D175" i="3" s="1"/>
  <c r="E175" i="3"/>
  <c r="B176" i="3"/>
  <c r="D176" i="3"/>
  <c r="E176" i="3"/>
  <c r="B177" i="3"/>
  <c r="E177" i="3" s="1"/>
  <c r="D177" i="3"/>
  <c r="B178" i="3"/>
  <c r="E178" i="3" s="1"/>
  <c r="D178" i="3"/>
  <c r="B179" i="3"/>
  <c r="D179" i="3"/>
  <c r="E179" i="3"/>
  <c r="B180" i="3"/>
  <c r="D180" i="3"/>
  <c r="E180" i="3"/>
  <c r="B181" i="3"/>
  <c r="D181" i="3"/>
  <c r="E181" i="3"/>
  <c r="B182" i="3"/>
  <c r="D182" i="3" s="1"/>
  <c r="E182" i="3"/>
  <c r="B183" i="3"/>
  <c r="D183" i="3" s="1"/>
  <c r="E183" i="3"/>
  <c r="B184" i="3"/>
  <c r="D184" i="3" s="1"/>
  <c r="B185" i="3"/>
  <c r="E185" i="3" s="1"/>
  <c r="D185" i="3"/>
  <c r="B186" i="3"/>
  <c r="E186" i="3" s="1"/>
  <c r="D186" i="3"/>
  <c r="B187" i="3"/>
  <c r="D187" i="3"/>
  <c r="E187" i="3"/>
  <c r="B188" i="3"/>
  <c r="D188" i="3"/>
  <c r="E188" i="3"/>
  <c r="B189" i="3"/>
  <c r="D189" i="3"/>
  <c r="E189" i="3"/>
  <c r="B190" i="3"/>
  <c r="B191" i="3"/>
  <c r="D191" i="3" s="1"/>
  <c r="B192" i="3"/>
  <c r="D192" i="3"/>
  <c r="E192" i="3"/>
  <c r="B193" i="3"/>
  <c r="E193" i="3" s="1"/>
  <c r="D193" i="3"/>
  <c r="B194" i="3"/>
  <c r="D194" i="3"/>
  <c r="E194" i="3"/>
  <c r="B195" i="3"/>
  <c r="D195" i="3"/>
  <c r="E195" i="3"/>
  <c r="B196" i="3"/>
  <c r="D196" i="3"/>
  <c r="E196" i="3"/>
  <c r="B197" i="3"/>
  <c r="D197" i="3"/>
  <c r="E197" i="3"/>
  <c r="B198" i="3"/>
  <c r="B199" i="3"/>
  <c r="E199" i="3" s="1"/>
  <c r="D199" i="3"/>
  <c r="B200" i="3"/>
  <c r="D200" i="3"/>
  <c r="E200" i="3"/>
  <c r="B201" i="3"/>
  <c r="E201" i="3" s="1"/>
  <c r="B202" i="3"/>
  <c r="D202" i="3"/>
  <c r="E202" i="3"/>
  <c r="B203" i="3"/>
  <c r="D203" i="3"/>
  <c r="E203" i="3"/>
  <c r="B204" i="3"/>
  <c r="D204" i="3"/>
  <c r="E204" i="3"/>
  <c r="B205" i="3"/>
  <c r="D205" i="3"/>
  <c r="E205" i="3"/>
  <c r="B206" i="3"/>
  <c r="B207" i="3"/>
  <c r="D207" i="3"/>
  <c r="E207" i="3"/>
  <c r="B208" i="3"/>
  <c r="D208" i="3"/>
  <c r="E208" i="3"/>
  <c r="B209" i="3"/>
  <c r="E209" i="3" s="1"/>
  <c r="D209" i="3"/>
  <c r="B210" i="3"/>
  <c r="D210" i="3"/>
  <c r="E210" i="3"/>
  <c r="B211" i="3"/>
  <c r="D211" i="3"/>
  <c r="E211" i="3"/>
  <c r="B212" i="3"/>
  <c r="D212" i="3"/>
  <c r="E212" i="3"/>
  <c r="B213" i="3"/>
  <c r="D213" i="3"/>
  <c r="E213" i="3"/>
  <c r="B214" i="3"/>
  <c r="B215" i="3"/>
  <c r="D215" i="3"/>
  <c r="E215" i="3"/>
  <c r="B216" i="3"/>
  <c r="D216" i="3"/>
  <c r="E216" i="3"/>
  <c r="B217" i="3"/>
  <c r="E217" i="3" s="1"/>
  <c r="D217" i="3"/>
  <c r="B218" i="3"/>
  <c r="D218" i="3" s="1"/>
  <c r="B219" i="3"/>
  <c r="D219" i="3"/>
  <c r="E219" i="3"/>
  <c r="B220" i="3"/>
  <c r="D220" i="3"/>
  <c r="E220" i="3"/>
  <c r="B221" i="3"/>
  <c r="D221" i="3"/>
  <c r="E221" i="3"/>
  <c r="B222" i="3"/>
  <c r="B223" i="3"/>
  <c r="D223" i="3"/>
  <c r="E223" i="3"/>
  <c r="B224" i="3"/>
  <c r="D224" i="3"/>
  <c r="E224" i="3"/>
  <c r="B225" i="3"/>
  <c r="E225" i="3" s="1"/>
  <c r="D225" i="3"/>
  <c r="B226" i="3"/>
  <c r="E226" i="3" s="1"/>
  <c r="D226" i="3"/>
  <c r="B227" i="3"/>
  <c r="D227" i="3"/>
  <c r="E227" i="3"/>
  <c r="B228" i="3"/>
  <c r="D228" i="3"/>
  <c r="E228" i="3"/>
  <c r="B229" i="3"/>
  <c r="D229" i="3"/>
  <c r="E229" i="3"/>
  <c r="B230" i="3"/>
  <c r="B231" i="3"/>
  <c r="D231" i="3"/>
  <c r="E231" i="3"/>
  <c r="B232" i="3"/>
  <c r="D232" i="3"/>
  <c r="E232" i="3"/>
  <c r="B233" i="3"/>
  <c r="E233" i="3" s="1"/>
  <c r="D233" i="3"/>
  <c r="B234" i="3"/>
  <c r="D234" i="3"/>
  <c r="E234" i="3"/>
  <c r="B235" i="3"/>
  <c r="D235" i="3"/>
  <c r="E235" i="3"/>
  <c r="B236" i="3"/>
  <c r="D236" i="3" s="1"/>
  <c r="B237" i="3"/>
  <c r="D237" i="3"/>
  <c r="E237" i="3"/>
  <c r="B238" i="3"/>
  <c r="B239" i="3"/>
  <c r="D239" i="3"/>
  <c r="E239" i="3"/>
  <c r="B240" i="3"/>
  <c r="D240" i="3"/>
  <c r="E240" i="3"/>
  <c r="B241" i="3"/>
  <c r="E241" i="3" s="1"/>
  <c r="D241" i="3"/>
  <c r="B242" i="3"/>
  <c r="D242" i="3"/>
  <c r="E242" i="3"/>
  <c r="B243" i="3"/>
  <c r="D243" i="3"/>
  <c r="E243" i="3"/>
  <c r="B244" i="3"/>
  <c r="D244" i="3" s="1"/>
  <c r="B245" i="3"/>
  <c r="D245" i="3"/>
  <c r="E245" i="3"/>
  <c r="B246" i="3"/>
  <c r="B247" i="3"/>
  <c r="D247" i="3"/>
  <c r="E247" i="3"/>
  <c r="B248" i="3"/>
  <c r="D248" i="3"/>
  <c r="E248" i="3"/>
  <c r="B249" i="3"/>
  <c r="E249" i="3" s="1"/>
  <c r="D249" i="3"/>
  <c r="B250" i="3"/>
  <c r="E250" i="3" s="1"/>
  <c r="D250" i="3"/>
  <c r="B251" i="3"/>
  <c r="D251" i="3"/>
  <c r="E251" i="3"/>
  <c r="B252" i="3"/>
  <c r="D252" i="3"/>
  <c r="E252" i="3"/>
  <c r="B253" i="3"/>
  <c r="D253" i="3"/>
  <c r="E253" i="3"/>
  <c r="B254" i="3"/>
  <c r="B255" i="3"/>
  <c r="D255" i="3"/>
  <c r="E255" i="3"/>
  <c r="B256" i="3"/>
  <c r="D256" i="3"/>
  <c r="E256" i="3"/>
  <c r="B257" i="3"/>
  <c r="E257" i="3" s="1"/>
  <c r="D257" i="3"/>
  <c r="B258" i="3"/>
  <c r="D258" i="3" s="1"/>
  <c r="B259" i="3"/>
  <c r="D259" i="3"/>
  <c r="E259" i="3"/>
  <c r="B260" i="3"/>
  <c r="D260" i="3"/>
  <c r="E260" i="3"/>
  <c r="B261" i="3"/>
  <c r="D261" i="3"/>
  <c r="E261" i="3"/>
  <c r="B262" i="3"/>
  <c r="B263" i="3"/>
  <c r="D263" i="3"/>
  <c r="E263" i="3"/>
  <c r="B264" i="3"/>
  <c r="D264" i="3"/>
  <c r="E264" i="3"/>
  <c r="B265" i="3"/>
  <c r="E265" i="3" s="1"/>
  <c r="D265" i="3"/>
  <c r="B266" i="3"/>
  <c r="D266" i="3"/>
  <c r="E266" i="3"/>
  <c r="B267" i="3"/>
  <c r="D267" i="3"/>
  <c r="E267" i="3"/>
  <c r="B268" i="3"/>
  <c r="D268" i="3"/>
  <c r="E268" i="3"/>
  <c r="B269" i="3"/>
  <c r="D269" i="3"/>
  <c r="E269" i="3"/>
  <c r="B270" i="3"/>
  <c r="B271" i="3"/>
  <c r="D271" i="3"/>
  <c r="E271" i="3"/>
  <c r="B272" i="3"/>
  <c r="D272" i="3"/>
  <c r="E272" i="3"/>
  <c r="B273" i="3"/>
  <c r="E273" i="3" s="1"/>
  <c r="D273" i="3"/>
  <c r="B274" i="3"/>
  <c r="D274" i="3"/>
  <c r="E274" i="3"/>
  <c r="B275" i="3"/>
  <c r="D275" i="3"/>
  <c r="E275" i="3"/>
  <c r="B276" i="3"/>
  <c r="D276" i="3"/>
  <c r="E276" i="3"/>
  <c r="B277" i="3"/>
  <c r="E277" i="3" s="1"/>
  <c r="D277" i="3"/>
  <c r="B278" i="3"/>
  <c r="B279" i="3"/>
  <c r="E279" i="3" s="1"/>
  <c r="D279" i="3"/>
  <c r="B280" i="3"/>
  <c r="D280" i="3"/>
  <c r="E280" i="3"/>
  <c r="B281" i="3"/>
  <c r="E281" i="3" s="1"/>
  <c r="B282" i="3"/>
  <c r="D282" i="3"/>
  <c r="E282" i="3"/>
  <c r="B283" i="3"/>
  <c r="D283" i="3"/>
  <c r="E283" i="3"/>
  <c r="B284" i="3"/>
  <c r="D284" i="3"/>
  <c r="E284" i="3"/>
  <c r="B285" i="3"/>
  <c r="D285" i="3" s="1"/>
  <c r="B286" i="3"/>
  <c r="B287" i="3"/>
  <c r="D287" i="3" s="1"/>
  <c r="B288" i="3"/>
  <c r="D288" i="3"/>
  <c r="E288" i="3"/>
  <c r="B289" i="3"/>
  <c r="E289" i="3" s="1"/>
  <c r="D289" i="3"/>
  <c r="B290" i="3"/>
  <c r="D290" i="3"/>
  <c r="E290" i="3"/>
  <c r="B291" i="3"/>
  <c r="D291" i="3"/>
  <c r="E291" i="3"/>
  <c r="B292" i="3"/>
  <c r="D292" i="3"/>
  <c r="E292" i="3"/>
  <c r="B293" i="3"/>
  <c r="D293" i="3"/>
  <c r="E293" i="3"/>
  <c r="B294" i="3"/>
  <c r="B295" i="3"/>
  <c r="D295" i="3"/>
  <c r="E295" i="3"/>
  <c r="B296" i="3"/>
  <c r="D296" i="3"/>
  <c r="E296" i="3"/>
  <c r="B297" i="3"/>
  <c r="E297" i="3" s="1"/>
  <c r="D297" i="3"/>
  <c r="B298" i="3"/>
  <c r="D298" i="3"/>
  <c r="E298" i="3"/>
  <c r="B299" i="3"/>
  <c r="D299" i="3"/>
  <c r="E299" i="3"/>
  <c r="B300" i="3"/>
  <c r="E300" i="3" s="1"/>
  <c r="D300" i="3"/>
  <c r="B301" i="3"/>
  <c r="D301" i="3"/>
  <c r="E301" i="3"/>
  <c r="B302" i="3"/>
  <c r="B303" i="3"/>
  <c r="D303" i="3"/>
  <c r="E303" i="3"/>
  <c r="B304" i="3"/>
  <c r="D304" i="3"/>
  <c r="E304" i="3"/>
  <c r="B305" i="3"/>
  <c r="E305" i="3" s="1"/>
  <c r="D305" i="3"/>
  <c r="B306" i="3"/>
  <c r="D306" i="3"/>
  <c r="E306" i="3"/>
  <c r="B307" i="3"/>
  <c r="D307" i="3"/>
  <c r="E307" i="3"/>
  <c r="B308" i="3"/>
  <c r="D308" i="3" s="1"/>
  <c r="B309" i="3"/>
  <c r="D309" i="3"/>
  <c r="E309" i="3"/>
  <c r="B310" i="3"/>
  <c r="B311" i="3"/>
  <c r="D311" i="3"/>
  <c r="E311" i="3"/>
  <c r="B312" i="3"/>
  <c r="D312" i="3"/>
  <c r="E312" i="3"/>
  <c r="B313" i="3"/>
  <c r="E313" i="3" s="1"/>
  <c r="D313" i="3"/>
  <c r="B314" i="3"/>
  <c r="E314" i="3" s="1"/>
  <c r="D314" i="3"/>
  <c r="B315" i="3"/>
  <c r="D315" i="3"/>
  <c r="E315" i="3"/>
  <c r="B316" i="3"/>
  <c r="D316" i="3"/>
  <c r="E316" i="3"/>
  <c r="B317" i="3"/>
  <c r="D317" i="3"/>
  <c r="E317" i="3"/>
  <c r="B318" i="3"/>
  <c r="B319" i="3"/>
  <c r="D319" i="3"/>
  <c r="E319" i="3"/>
  <c r="B320" i="3"/>
  <c r="D320" i="3"/>
  <c r="E320" i="3"/>
  <c r="B321" i="3"/>
  <c r="E321" i="3" s="1"/>
  <c r="D321" i="3"/>
  <c r="B322" i="3"/>
  <c r="D322" i="3" s="1"/>
  <c r="B323" i="3"/>
  <c r="D323" i="3"/>
  <c r="E323" i="3"/>
  <c r="B324" i="3"/>
  <c r="D324" i="3"/>
  <c r="E324" i="3"/>
  <c r="B325" i="3"/>
  <c r="D325" i="3"/>
  <c r="E325" i="3"/>
  <c r="B326" i="3"/>
  <c r="B327" i="3"/>
  <c r="D327" i="3"/>
  <c r="E327" i="3"/>
  <c r="B328" i="3"/>
  <c r="D328" i="3"/>
  <c r="E328" i="3"/>
  <c r="B329" i="3"/>
  <c r="E329" i="3" s="1"/>
  <c r="D329" i="3"/>
  <c r="B330" i="3"/>
  <c r="D330" i="3"/>
  <c r="E330" i="3"/>
  <c r="B331" i="3"/>
  <c r="D331" i="3"/>
  <c r="E331" i="3"/>
  <c r="B332" i="3"/>
  <c r="D332" i="3"/>
  <c r="E332" i="3"/>
  <c r="B333" i="3"/>
  <c r="E333" i="3" s="1"/>
  <c r="D333" i="3"/>
  <c r="B334" i="3"/>
  <c r="D334" i="3" s="1"/>
  <c r="E334" i="3"/>
  <c r="B335" i="3"/>
  <c r="D335" i="3" s="1"/>
  <c r="B336" i="3"/>
  <c r="D336" i="3"/>
  <c r="E336" i="3"/>
  <c r="B337" i="3"/>
  <c r="E337" i="3" s="1"/>
  <c r="D337" i="3"/>
  <c r="B338" i="3"/>
  <c r="D338" i="3"/>
  <c r="E338" i="3"/>
  <c r="B339" i="3"/>
  <c r="D339" i="3"/>
  <c r="E339" i="3"/>
  <c r="B340" i="3"/>
  <c r="E340" i="3" s="1"/>
  <c r="D340" i="3"/>
  <c r="B341" i="3"/>
  <c r="D341" i="3"/>
  <c r="E341" i="3"/>
  <c r="B342" i="3"/>
  <c r="D342" i="3" s="1"/>
  <c r="B343" i="3"/>
  <c r="D343" i="3"/>
  <c r="E343" i="3"/>
  <c r="B344" i="3"/>
  <c r="D344" i="3" s="1"/>
  <c r="B345" i="3"/>
  <c r="E345" i="3" s="1"/>
  <c r="D345" i="3"/>
  <c r="B346" i="3"/>
  <c r="D346" i="3"/>
  <c r="E346" i="3"/>
  <c r="B347" i="3"/>
  <c r="D347" i="3"/>
  <c r="E347" i="3"/>
  <c r="B348" i="3"/>
  <c r="D348" i="3"/>
  <c r="E348" i="3"/>
  <c r="B349" i="3"/>
  <c r="E349" i="3" s="1"/>
  <c r="D349" i="3"/>
  <c r="B350" i="3"/>
  <c r="D350" i="3" s="1"/>
  <c r="E350" i="3"/>
  <c r="B351" i="3"/>
  <c r="D351" i="3" s="1"/>
  <c r="B352" i="3"/>
  <c r="D352" i="3"/>
  <c r="E352" i="3"/>
  <c r="B353" i="3"/>
  <c r="E353" i="3" s="1"/>
  <c r="D353" i="3"/>
  <c r="B354" i="3"/>
  <c r="D354" i="3"/>
  <c r="E354" i="3"/>
  <c r="B355" i="3"/>
  <c r="D355" i="3"/>
  <c r="E355" i="3"/>
  <c r="B356" i="3"/>
  <c r="E356" i="3" s="1"/>
  <c r="D356" i="3"/>
  <c r="B357" i="3"/>
  <c r="D357" i="3"/>
  <c r="E357" i="3"/>
  <c r="B358" i="3"/>
  <c r="D358" i="3" s="1"/>
  <c r="B359" i="3"/>
  <c r="D359" i="3"/>
  <c r="E359" i="3"/>
  <c r="B360" i="3"/>
  <c r="D360" i="3" s="1"/>
  <c r="B361" i="3"/>
  <c r="E361" i="3" s="1"/>
  <c r="D361" i="3"/>
  <c r="B362" i="3"/>
  <c r="D362" i="3"/>
  <c r="E362" i="3"/>
  <c r="B363" i="3"/>
  <c r="D363" i="3"/>
  <c r="E363" i="3"/>
  <c r="B364" i="3"/>
  <c r="D364" i="3"/>
  <c r="E364" i="3"/>
  <c r="B365" i="3"/>
  <c r="E365" i="3" s="1"/>
  <c r="D365" i="3"/>
  <c r="B366" i="3"/>
  <c r="D366" i="3" s="1"/>
  <c r="E366" i="3"/>
  <c r="B367" i="3"/>
  <c r="D367" i="3" s="1"/>
  <c r="B368" i="3"/>
  <c r="D368" i="3"/>
  <c r="E368" i="3"/>
  <c r="B369" i="3"/>
  <c r="E369" i="3" s="1"/>
  <c r="D369" i="3"/>
  <c r="B370" i="3"/>
  <c r="D370" i="3"/>
  <c r="E370" i="3"/>
  <c r="B371" i="3"/>
  <c r="D371" i="3"/>
  <c r="E371" i="3"/>
  <c r="B372" i="3"/>
  <c r="E372" i="3" s="1"/>
  <c r="D372" i="3"/>
  <c r="B373" i="3"/>
  <c r="D373" i="3"/>
  <c r="E373" i="3"/>
  <c r="B374" i="3"/>
  <c r="D374" i="3" s="1"/>
  <c r="B375" i="3"/>
  <c r="D375" i="3"/>
  <c r="E375" i="3"/>
  <c r="B376" i="3"/>
  <c r="D376" i="3" s="1"/>
  <c r="B377" i="3"/>
  <c r="E377" i="3" s="1"/>
  <c r="D377" i="3"/>
  <c r="B19" i="3"/>
  <c r="E19" i="3" s="1"/>
  <c r="B18" i="3"/>
  <c r="D18" i="3" s="1"/>
  <c r="D17" i="3"/>
  <c r="B17" i="3"/>
  <c r="E17" i="3" s="1"/>
  <c r="D11" i="3"/>
  <c r="B10" i="3"/>
  <c r="B12" i="3" s="1"/>
  <c r="D310" i="3" l="1"/>
  <c r="E310" i="3"/>
  <c r="D246" i="3"/>
  <c r="E246" i="3"/>
  <c r="D238" i="3"/>
  <c r="E238" i="3"/>
  <c r="D71" i="3"/>
  <c r="E71" i="3"/>
  <c r="D190" i="3"/>
  <c r="E190" i="3"/>
  <c r="E130" i="3"/>
  <c r="D130" i="3"/>
  <c r="D87" i="3"/>
  <c r="E87" i="3"/>
  <c r="D278" i="3"/>
  <c r="E278" i="3"/>
  <c r="D206" i="3"/>
  <c r="E206" i="3"/>
  <c r="D47" i="3"/>
  <c r="E47" i="3"/>
  <c r="D39" i="3"/>
  <c r="E39" i="3"/>
  <c r="D95" i="3"/>
  <c r="E95" i="3"/>
  <c r="D127" i="3"/>
  <c r="E127" i="3"/>
  <c r="D270" i="3"/>
  <c r="E270" i="3"/>
  <c r="D214" i="3"/>
  <c r="E214" i="3"/>
  <c r="D151" i="3"/>
  <c r="E151" i="3"/>
  <c r="D69" i="3"/>
  <c r="E69" i="3"/>
  <c r="D302" i="3"/>
  <c r="E302" i="3"/>
  <c r="D111" i="3"/>
  <c r="E111" i="3"/>
  <c r="D294" i="3"/>
  <c r="E294" i="3"/>
  <c r="E74" i="3"/>
  <c r="D74" i="3"/>
  <c r="E367" i="3"/>
  <c r="E360" i="3"/>
  <c r="E351" i="3"/>
  <c r="E308" i="3"/>
  <c r="E287" i="3"/>
  <c r="E285" i="3"/>
  <c r="D262" i="3"/>
  <c r="E262" i="3"/>
  <c r="E258" i="3"/>
  <c r="E244" i="3"/>
  <c r="E236" i="3"/>
  <c r="D222" i="3"/>
  <c r="E222" i="3"/>
  <c r="E218" i="3"/>
  <c r="E191" i="3"/>
  <c r="E184" i="3"/>
  <c r="E29" i="3"/>
  <c r="D286" i="3"/>
  <c r="E286" i="3"/>
  <c r="D198" i="3"/>
  <c r="E198" i="3"/>
  <c r="E376" i="3"/>
  <c r="E344" i="3"/>
  <c r="E335" i="3"/>
  <c r="D326" i="3"/>
  <c r="E326" i="3"/>
  <c r="E322" i="3"/>
  <c r="E374" i="3"/>
  <c r="E358" i="3"/>
  <c r="E342" i="3"/>
  <c r="D318" i="3"/>
  <c r="E318" i="3"/>
  <c r="D281" i="3"/>
  <c r="D254" i="3"/>
  <c r="E254" i="3"/>
  <c r="D230" i="3"/>
  <c r="E230" i="3"/>
  <c r="D201" i="3"/>
  <c r="E174" i="3"/>
  <c r="D143" i="3"/>
  <c r="E143" i="3"/>
  <c r="D128" i="3"/>
  <c r="E128" i="3"/>
  <c r="D112" i="3"/>
  <c r="D72" i="3"/>
  <c r="E72" i="3"/>
  <c r="D63" i="3"/>
  <c r="E63" i="3"/>
  <c r="D31" i="3"/>
  <c r="E31" i="3"/>
  <c r="D135" i="3"/>
  <c r="E135" i="3"/>
  <c r="D103" i="3"/>
  <c r="E103" i="3"/>
  <c r="D79" i="3"/>
  <c r="E79" i="3"/>
  <c r="D55" i="3"/>
  <c r="E55" i="3"/>
  <c r="D23" i="3"/>
  <c r="E23" i="3"/>
  <c r="D119" i="3"/>
  <c r="E119" i="3"/>
  <c r="E20" i="3"/>
  <c r="D19" i="3"/>
  <c r="E18" i="3"/>
  <c r="B15" i="3"/>
  <c r="B14" i="3"/>
  <c r="C11" i="4" l="1"/>
  <c r="B13" i="4" s="1"/>
  <c r="B6" i="2"/>
  <c r="C17" i="4"/>
  <c r="C19" i="4" s="1"/>
  <c r="H25" i="4"/>
  <c r="H27" i="4" s="1"/>
  <c r="C15" i="4"/>
  <c r="C6" i="2"/>
  <c r="B10" i="2"/>
  <c r="C103" i="4" l="1"/>
  <c r="C104" i="4" s="1"/>
  <c r="C105" i="4"/>
  <c r="C106" i="4" s="1"/>
  <c r="C21" i="4"/>
  <c r="C25" i="4" s="1"/>
  <c r="H29" i="4"/>
  <c r="H31" i="4" s="1"/>
  <c r="H39" i="4"/>
  <c r="H41" i="4" s="1"/>
  <c r="E6" i="2"/>
  <c r="F6" i="2" s="1"/>
  <c r="C17" i="2" s="1"/>
  <c r="D17" i="2" s="1"/>
  <c r="D6" i="2"/>
  <c r="I6" i="2"/>
  <c r="J6" i="2" s="1"/>
  <c r="L6" i="2" s="1"/>
  <c r="M6" i="2" s="1"/>
  <c r="N6" i="2" s="1"/>
  <c r="P6" i="2" s="1"/>
  <c r="C10" i="2"/>
  <c r="D10" i="2"/>
  <c r="E10" i="2"/>
  <c r="F10" i="2" s="1"/>
  <c r="G10" i="2" s="1"/>
  <c r="H46" i="4" l="1"/>
  <c r="H52" i="4" s="1"/>
  <c r="H44" i="4"/>
  <c r="H35" i="4"/>
  <c r="H34" i="4"/>
  <c r="H38" i="4" s="1"/>
  <c r="C27" i="4"/>
  <c r="C28" i="4" s="1"/>
  <c r="C29" i="4"/>
  <c r="C30" i="4" s="1"/>
  <c r="C33" i="4"/>
  <c r="C34" i="4" s="1"/>
  <c r="C26" i="4"/>
  <c r="C31" i="4"/>
  <c r="C32" i="4" s="1"/>
  <c r="C108" i="4"/>
  <c r="C28" i="1" s="1"/>
  <c r="G6" i="2"/>
  <c r="E17" i="2" s="1"/>
  <c r="F17" i="2" s="1"/>
  <c r="G17" i="2" s="1"/>
  <c r="O6" i="2"/>
  <c r="R6" i="2"/>
  <c r="S6" i="2" s="1"/>
  <c r="U6" i="2" s="1"/>
  <c r="W6" i="2" s="1"/>
  <c r="X6" i="2" s="1"/>
  <c r="Y6" i="2" s="1"/>
  <c r="J68" i="1" s="1"/>
  <c r="I21" i="1" s="1"/>
  <c r="B3" i="3" s="1"/>
  <c r="C3" i="3" s="1"/>
  <c r="E3" i="3" s="1"/>
  <c r="I6" i="3" s="1"/>
  <c r="B71" i="1"/>
  <c r="B73" i="1" s="1"/>
  <c r="B77" i="1" s="1"/>
  <c r="H94" i="4" l="1"/>
  <c r="H96" i="4" s="1"/>
  <c r="H100" i="4" s="1"/>
  <c r="H102" i="4" s="1"/>
  <c r="C36" i="4"/>
  <c r="C46" i="4"/>
  <c r="C38" i="4"/>
  <c r="C64" i="4"/>
  <c r="C44" i="4"/>
  <c r="C60" i="4"/>
  <c r="C39" i="4"/>
  <c r="C58" i="4"/>
  <c r="C42" i="4"/>
  <c r="C45" i="4"/>
  <c r="C59" i="4"/>
  <c r="C37" i="4"/>
  <c r="C57" i="4"/>
  <c r="C41" i="4"/>
  <c r="C63" i="4"/>
  <c r="C47" i="4"/>
  <c r="C56" i="4"/>
  <c r="C43" i="4"/>
  <c r="C55" i="4"/>
  <c r="C110" i="4"/>
  <c r="C111" i="4" s="1"/>
  <c r="C113" i="4" s="1"/>
  <c r="C116" i="4"/>
  <c r="D29" i="1" s="1"/>
  <c r="C48" i="4"/>
  <c r="C40" i="4"/>
  <c r="C54" i="4"/>
  <c r="H53" i="4"/>
  <c r="T6" i="2"/>
  <c r="J66" i="1" s="1"/>
  <c r="N8" i="3"/>
  <c r="N6" i="3"/>
  <c r="I8" i="3"/>
  <c r="B74" i="1"/>
  <c r="A88" i="1" s="1"/>
  <c r="E88" i="1" s="1"/>
  <c r="O8" i="1"/>
  <c r="J70" i="1"/>
  <c r="O88" i="1" s="1"/>
  <c r="B79" i="1"/>
  <c r="B81" i="1" s="1"/>
  <c r="A97" i="1" s="1"/>
  <c r="A92" i="1"/>
  <c r="H61" i="4" l="1"/>
  <c r="H56" i="4"/>
  <c r="C49" i="4"/>
  <c r="K81" i="5" s="1"/>
  <c r="J94" i="5" s="1"/>
  <c r="K94" i="5" s="1"/>
  <c r="L94" i="5" s="1"/>
  <c r="C114" i="4"/>
  <c r="C29" i="1" s="1"/>
  <c r="J110" i="1"/>
  <c r="C65" i="4"/>
  <c r="H92" i="4"/>
  <c r="J113" i="1"/>
  <c r="H104" i="4"/>
  <c r="H33" i="3"/>
  <c r="I44" i="3"/>
  <c r="I49" i="3"/>
  <c r="H73" i="3"/>
  <c r="I94" i="3"/>
  <c r="H97" i="3"/>
  <c r="I99" i="3"/>
  <c r="I116" i="3"/>
  <c r="I124" i="3"/>
  <c r="I146" i="3"/>
  <c r="I148" i="3"/>
  <c r="H192" i="3"/>
  <c r="I194" i="3"/>
  <c r="I203" i="3"/>
  <c r="H235" i="3"/>
  <c r="I245" i="3"/>
  <c r="H263" i="3"/>
  <c r="I265" i="3"/>
  <c r="I280" i="3"/>
  <c r="H295" i="3"/>
  <c r="I299" i="3"/>
  <c r="I309" i="3"/>
  <c r="H327" i="3"/>
  <c r="I329" i="3"/>
  <c r="I336" i="3"/>
  <c r="H338" i="3"/>
  <c r="I350" i="3"/>
  <c r="H362" i="3"/>
  <c r="I364" i="3"/>
  <c r="I369" i="3"/>
  <c r="H371" i="3"/>
  <c r="I373" i="3"/>
  <c r="I371" i="3"/>
  <c r="H377" i="3"/>
  <c r="H320" i="3"/>
  <c r="H337" i="3"/>
  <c r="I346" i="3"/>
  <c r="H48" i="3"/>
  <c r="H113" i="3"/>
  <c r="I129" i="3"/>
  <c r="H197" i="3"/>
  <c r="H229" i="3"/>
  <c r="H259" i="3"/>
  <c r="H296" i="3"/>
  <c r="I320" i="3"/>
  <c r="I332" i="3"/>
  <c r="H339" i="3"/>
  <c r="I361" i="3"/>
  <c r="I43" i="3"/>
  <c r="I113" i="3"/>
  <c r="I155" i="3"/>
  <c r="I197" i="3"/>
  <c r="I229" i="3"/>
  <c r="H274" i="3"/>
  <c r="H311" i="3"/>
  <c r="H352" i="3"/>
  <c r="H38" i="3"/>
  <c r="H75" i="3"/>
  <c r="I89" i="3"/>
  <c r="I138" i="3"/>
  <c r="H150" i="3"/>
  <c r="I165" i="3"/>
  <c r="H272" i="3"/>
  <c r="I352" i="3"/>
  <c r="I366" i="3"/>
  <c r="I38" i="3"/>
  <c r="H54" i="3"/>
  <c r="I60" i="3"/>
  <c r="I86" i="3"/>
  <c r="H99" i="3"/>
  <c r="I33" i="3"/>
  <c r="I36" i="3"/>
  <c r="H64" i="3"/>
  <c r="I73" i="3"/>
  <c r="H78" i="3"/>
  <c r="I84" i="3"/>
  <c r="I92" i="3"/>
  <c r="I97" i="3"/>
  <c r="I108" i="3"/>
  <c r="I122" i="3"/>
  <c r="H131" i="3"/>
  <c r="I156" i="3"/>
  <c r="H159" i="3"/>
  <c r="H169" i="3"/>
  <c r="H171" i="3"/>
  <c r="I173" i="3"/>
  <c r="I192" i="3"/>
  <c r="I235" i="3"/>
  <c r="H243" i="3"/>
  <c r="H251" i="3"/>
  <c r="H253" i="3"/>
  <c r="I289" i="3"/>
  <c r="H307" i="3"/>
  <c r="H315" i="3"/>
  <c r="H317" i="3"/>
  <c r="H334" i="3"/>
  <c r="H343" i="3"/>
  <c r="H353" i="3"/>
  <c r="H357" i="3"/>
  <c r="I362" i="3"/>
  <c r="I377" i="3"/>
  <c r="I293" i="3"/>
  <c r="H361" i="3"/>
  <c r="H368" i="3"/>
  <c r="H43" i="3"/>
  <c r="H56" i="3"/>
  <c r="H120" i="3"/>
  <c r="I185" i="3"/>
  <c r="H227" i="3"/>
  <c r="H264" i="3"/>
  <c r="H328" i="3"/>
  <c r="I368" i="3"/>
  <c r="I91" i="3"/>
  <c r="H153" i="3"/>
  <c r="H175" i="3"/>
  <c r="I266" i="3"/>
  <c r="H288" i="3"/>
  <c r="I330" i="3"/>
  <c r="H366" i="3"/>
  <c r="H375" i="3"/>
  <c r="I41" i="3"/>
  <c r="H51" i="3"/>
  <c r="I68" i="3"/>
  <c r="H86" i="3"/>
  <c r="H104" i="3"/>
  <c r="I132" i="3"/>
  <c r="H161" i="3"/>
  <c r="I210" i="3"/>
  <c r="I282" i="3"/>
  <c r="I345" i="3"/>
  <c r="I51" i="3"/>
  <c r="H94" i="3"/>
  <c r="H70" i="3"/>
  <c r="I131" i="3"/>
  <c r="H137" i="3"/>
  <c r="H139" i="3"/>
  <c r="H144" i="3"/>
  <c r="H162" i="3"/>
  <c r="I169" i="3"/>
  <c r="I171" i="3"/>
  <c r="H187" i="3"/>
  <c r="I189" i="3"/>
  <c r="H202" i="3"/>
  <c r="H211" i="3"/>
  <c r="H216" i="3"/>
  <c r="H219" i="3"/>
  <c r="H221" i="3"/>
  <c r="H231" i="3"/>
  <c r="I241" i="3"/>
  <c r="I243" i="3"/>
  <c r="I251" i="3"/>
  <c r="I253" i="3"/>
  <c r="H275" i="3"/>
  <c r="H283" i="3"/>
  <c r="H291" i="3"/>
  <c r="H293" i="3"/>
  <c r="I305" i="3"/>
  <c r="I307" i="3"/>
  <c r="I315" i="3"/>
  <c r="I317" i="3"/>
  <c r="I334" i="3"/>
  <c r="H346" i="3"/>
  <c r="I348" i="3"/>
  <c r="I353" i="3"/>
  <c r="H355" i="3"/>
  <c r="I357" i="3"/>
  <c r="H325" i="3"/>
  <c r="H341" i="3"/>
  <c r="I355" i="3"/>
  <c r="H59" i="3"/>
  <c r="I100" i="3"/>
  <c r="H147" i="3"/>
  <c r="I179" i="3"/>
  <c r="H195" i="3"/>
  <c r="H239" i="3"/>
  <c r="H303" i="3"/>
  <c r="H323" i="3"/>
  <c r="I341" i="3"/>
  <c r="H370" i="3"/>
  <c r="H41" i="3"/>
  <c r="H96" i="3"/>
  <c r="I142" i="3"/>
  <c r="I195" i="3"/>
  <c r="H210" i="3"/>
  <c r="I227" i="3"/>
  <c r="H282" i="3"/>
  <c r="H345" i="3"/>
  <c r="H22" i="3"/>
  <c r="H80" i="3"/>
  <c r="H118" i="3"/>
  <c r="I153" i="3"/>
  <c r="H163" i="3"/>
  <c r="H232" i="3"/>
  <c r="I288" i="3"/>
  <c r="H301" i="3"/>
  <c r="H354" i="3"/>
  <c r="I46" i="3"/>
  <c r="I110" i="3"/>
  <c r="H24" i="3"/>
  <c r="H27" i="3"/>
  <c r="I70" i="3"/>
  <c r="I76" i="3"/>
  <c r="H115" i="3"/>
  <c r="H129" i="3"/>
  <c r="I137" i="3"/>
  <c r="I139" i="3"/>
  <c r="H167" i="3"/>
  <c r="H177" i="3"/>
  <c r="H179" i="3"/>
  <c r="H185" i="3"/>
  <c r="I187" i="3"/>
  <c r="I202" i="3"/>
  <c r="I211" i="3"/>
  <c r="I216" i="3"/>
  <c r="I219" i="3"/>
  <c r="H224" i="3"/>
  <c r="I249" i="3"/>
  <c r="H256" i="3"/>
  <c r="H261" i="3"/>
  <c r="I275" i="3"/>
  <c r="I283" i="3"/>
  <c r="I291" i="3"/>
  <c r="H298" i="3"/>
  <c r="I313" i="3"/>
  <c r="H65" i="3"/>
  <c r="H91" i="3"/>
  <c r="I115" i="3"/>
  <c r="H142" i="3"/>
  <c r="H155" i="3"/>
  <c r="I177" i="3"/>
  <c r="H200" i="3"/>
  <c r="I224" i="3"/>
  <c r="I256" i="3"/>
  <c r="H266" i="3"/>
  <c r="H330" i="3"/>
  <c r="I337" i="3"/>
  <c r="I65" i="3"/>
  <c r="H89" i="3"/>
  <c r="H126" i="3"/>
  <c r="H145" i="3"/>
  <c r="H170" i="3"/>
  <c r="I200" i="3"/>
  <c r="H247" i="3"/>
  <c r="I264" i="3"/>
  <c r="H290" i="3"/>
  <c r="I328" i="3"/>
  <c r="I339" i="3"/>
  <c r="I28" i="3"/>
  <c r="H46" i="3"/>
  <c r="H110" i="3"/>
  <c r="I126" i="3"/>
  <c r="H208" i="3"/>
  <c r="H215" i="3"/>
  <c r="H237" i="3"/>
  <c r="I274" i="3"/>
  <c r="I290" i="3"/>
  <c r="H49" i="3"/>
  <c r="I75" i="3"/>
  <c r="I150" i="3"/>
  <c r="I208" i="3"/>
  <c r="H255" i="3"/>
  <c r="H299" i="3"/>
  <c r="H350" i="3"/>
  <c r="H319" i="3"/>
  <c r="H245" i="3"/>
  <c r="I161" i="3"/>
  <c r="H280" i="3"/>
  <c r="I297" i="3"/>
  <c r="I321" i="3"/>
  <c r="H373" i="3"/>
  <c r="H178" i="3"/>
  <c r="H369" i="3"/>
  <c r="I232" i="3"/>
  <c r="H336" i="3"/>
  <c r="H359" i="3"/>
  <c r="I118" i="3"/>
  <c r="H183" i="3"/>
  <c r="H203" i="3"/>
  <c r="H309" i="3"/>
  <c r="I272" i="3"/>
  <c r="I301" i="3"/>
  <c r="I163" i="3"/>
  <c r="H194" i="3"/>
  <c r="I237" i="3"/>
  <c r="H223" i="3"/>
  <c r="I257" i="3"/>
  <c r="H156" i="3"/>
  <c r="H92" i="3"/>
  <c r="H84" i="3"/>
  <c r="I296" i="3"/>
  <c r="H306" i="3"/>
  <c r="I298" i="3"/>
  <c r="I186" i="3"/>
  <c r="H331" i="3"/>
  <c r="H342" i="3"/>
  <c r="H277" i="3"/>
  <c r="I207" i="3"/>
  <c r="I319" i="3"/>
  <c r="H67" i="3"/>
  <c r="H212" i="3"/>
  <c r="I196" i="3"/>
  <c r="H324" i="3"/>
  <c r="I260" i="3"/>
  <c r="H81" i="3"/>
  <c r="H30" i="3"/>
  <c r="I102" i="3"/>
  <c r="I284" i="3"/>
  <c r="I276" i="3"/>
  <c r="H199" i="3"/>
  <c r="H158" i="3"/>
  <c r="I27" i="3"/>
  <c r="I32" i="3"/>
  <c r="H204" i="3"/>
  <c r="I101" i="3"/>
  <c r="H133" i="3"/>
  <c r="H157" i="3"/>
  <c r="I167" i="3"/>
  <c r="I93" i="3"/>
  <c r="H45" i="3"/>
  <c r="H332" i="3"/>
  <c r="I133" i="3"/>
  <c r="H124" i="3"/>
  <c r="H26" i="3"/>
  <c r="I45" i="3"/>
  <c r="I193" i="3"/>
  <c r="I311" i="3"/>
  <c r="I57" i="3"/>
  <c r="H58" i="3"/>
  <c r="H141" i="3"/>
  <c r="H121" i="3"/>
  <c r="I356" i="3"/>
  <c r="H252" i="3"/>
  <c r="I188" i="3"/>
  <c r="H316" i="3"/>
  <c r="H82" i="3"/>
  <c r="I24" i="3"/>
  <c r="H329" i="3"/>
  <c r="I83" i="3"/>
  <c r="H213" i="3"/>
  <c r="H85" i="3"/>
  <c r="H154" i="3"/>
  <c r="I37" i="3"/>
  <c r="I182" i="3"/>
  <c r="I136" i="3"/>
  <c r="H173" i="3"/>
  <c r="H271" i="3"/>
  <c r="I56" i="3"/>
  <c r="H146" i="3"/>
  <c r="I323" i="3"/>
  <c r="H365" i="3"/>
  <c r="I268" i="3"/>
  <c r="I164" i="3"/>
  <c r="H220" i="3"/>
  <c r="I300" i="3"/>
  <c r="I349" i="3"/>
  <c r="I109" i="3"/>
  <c r="H106" i="3"/>
  <c r="I312" i="3"/>
  <c r="I325" i="3"/>
  <c r="H376" i="3"/>
  <c r="I247" i="3"/>
  <c r="H140" i="3"/>
  <c r="H168" i="3"/>
  <c r="I199" i="3"/>
  <c r="I331" i="3"/>
  <c r="H172" i="3"/>
  <c r="I340" i="3"/>
  <c r="I106" i="3"/>
  <c r="I183" i="3"/>
  <c r="H108" i="3"/>
  <c r="H305" i="3"/>
  <c r="H351" i="3"/>
  <c r="I231" i="3"/>
  <c r="I209" i="3"/>
  <c r="I64" i="3"/>
  <c r="I372" i="3"/>
  <c r="H248" i="3"/>
  <c r="H36" i="3"/>
  <c r="H321" i="3"/>
  <c r="H249" i="3"/>
  <c r="H242" i="3"/>
  <c r="H273" i="3"/>
  <c r="H116" i="3"/>
  <c r="H289" i="3"/>
  <c r="H314" i="3"/>
  <c r="I258" i="3"/>
  <c r="H114" i="3"/>
  <c r="I255" i="3"/>
  <c r="I67" i="3"/>
  <c r="I212" i="3"/>
  <c r="H62" i="3"/>
  <c r="I359" i="3"/>
  <c r="I324" i="3"/>
  <c r="I250" i="3"/>
  <c r="I205" i="3"/>
  <c r="H134" i="3"/>
  <c r="I81" i="3"/>
  <c r="I30" i="3"/>
  <c r="I271" i="3"/>
  <c r="H90" i="3"/>
  <c r="I152" i="3"/>
  <c r="H61" i="3"/>
  <c r="I363" i="3"/>
  <c r="I306" i="3"/>
  <c r="I234" i="3"/>
  <c r="H193" i="3"/>
  <c r="I158" i="3"/>
  <c r="I279" i="3"/>
  <c r="I327" i="3"/>
  <c r="I204" i="3"/>
  <c r="H207" i="3"/>
  <c r="H57" i="3"/>
  <c r="I159" i="3"/>
  <c r="H188" i="3"/>
  <c r="I120" i="3"/>
  <c r="H148" i="3"/>
  <c r="H356" i="3"/>
  <c r="I295" i="3"/>
  <c r="H105" i="3"/>
  <c r="H186" i="3"/>
  <c r="I58" i="3"/>
  <c r="I141" i="3"/>
  <c r="H269" i="3"/>
  <c r="I145" i="3"/>
  <c r="I59" i="3"/>
  <c r="H164" i="3"/>
  <c r="I226" i="3"/>
  <c r="H300" i="3"/>
  <c r="I25" i="3"/>
  <c r="H109" i="3"/>
  <c r="H21" i="3"/>
  <c r="H132" i="3"/>
  <c r="H60" i="3"/>
  <c r="I162" i="3"/>
  <c r="I40" i="3"/>
  <c r="H364" i="3"/>
  <c r="I168" i="3"/>
  <c r="I347" i="3"/>
  <c r="I181" i="3"/>
  <c r="H166" i="3"/>
  <c r="H53" i="3"/>
  <c r="I98" i="3"/>
  <c r="I370" i="3"/>
  <c r="H28" i="3"/>
  <c r="I176" i="3"/>
  <c r="H52" i="3"/>
  <c r="H348" i="3"/>
  <c r="I66" i="3"/>
  <c r="I242" i="3"/>
  <c r="H292" i="3"/>
  <c r="H77" i="3"/>
  <c r="I50" i="3"/>
  <c r="H138" i="3"/>
  <c r="H304" i="3"/>
  <c r="I149" i="3"/>
  <c r="I365" i="3"/>
  <c r="I104" i="3"/>
  <c r="H276" i="3"/>
  <c r="H240" i="3"/>
  <c r="I338" i="3"/>
  <c r="I178" i="3"/>
  <c r="H100" i="3"/>
  <c r="I170" i="3"/>
  <c r="I261" i="3"/>
  <c r="H347" i="3"/>
  <c r="H267" i="3"/>
  <c r="H250" i="3"/>
  <c r="H226" i="3"/>
  <c r="I160" i="3"/>
  <c r="I114" i="3"/>
  <c r="H233" i="3"/>
  <c r="H42" i="3"/>
  <c r="I88" i="3"/>
  <c r="I62" i="3"/>
  <c r="I223" i="3"/>
  <c r="I314" i="3"/>
  <c r="I248" i="3"/>
  <c r="H189" i="3"/>
  <c r="I134" i="3"/>
  <c r="I78" i="3"/>
  <c r="H372" i="3"/>
  <c r="H217" i="3"/>
  <c r="I90" i="3"/>
  <c r="H152" i="3"/>
  <c r="I61" i="3"/>
  <c r="I304" i="3"/>
  <c r="H228" i="3"/>
  <c r="H125" i="3"/>
  <c r="I263" i="3"/>
  <c r="I26" i="3"/>
  <c r="H34" i="3"/>
  <c r="I125" i="3"/>
  <c r="I342" i="3"/>
  <c r="I54" i="3"/>
  <c r="I144" i="3"/>
  <c r="I354" i="3"/>
  <c r="H181" i="3"/>
  <c r="H335" i="3"/>
  <c r="H180" i="3"/>
  <c r="I22" i="3"/>
  <c r="I34" i="3"/>
  <c r="I105" i="3"/>
  <c r="H35" i="3"/>
  <c r="H279" i="3"/>
  <c r="H68" i="3"/>
  <c r="I85" i="3"/>
  <c r="I154" i="3"/>
  <c r="H107" i="3"/>
  <c r="I375" i="3"/>
  <c r="I35" i="3"/>
  <c r="I21" i="3"/>
  <c r="I259" i="3"/>
  <c r="H76" i="3"/>
  <c r="H40" i="3"/>
  <c r="H209" i="3"/>
  <c r="I220" i="3"/>
  <c r="I333" i="3"/>
  <c r="H32" i="3"/>
  <c r="H117" i="3"/>
  <c r="H313" i="3"/>
  <c r="H363" i="3"/>
  <c r="H176" i="3"/>
  <c r="H196" i="3"/>
  <c r="H102" i="3"/>
  <c r="I267" i="3"/>
  <c r="H265" i="3"/>
  <c r="I140" i="3"/>
  <c r="H44" i="3"/>
  <c r="H333" i="3"/>
  <c r="I157" i="3"/>
  <c r="H241" i="3"/>
  <c r="H349" i="3"/>
  <c r="I221" i="3"/>
  <c r="I335" i="3"/>
  <c r="H340" i="3"/>
  <c r="H160" i="3"/>
  <c r="I215" i="3"/>
  <c r="I233" i="3"/>
  <c r="I42" i="3"/>
  <c r="H88" i="3"/>
  <c r="H37" i="3"/>
  <c r="I147" i="3"/>
  <c r="I303" i="3"/>
  <c r="I239" i="3"/>
  <c r="H182" i="3"/>
  <c r="H123" i="3"/>
  <c r="I217" i="3"/>
  <c r="H25" i="3"/>
  <c r="I228" i="3"/>
  <c r="I273" i="3"/>
  <c r="H297" i="3"/>
  <c r="H268" i="3"/>
  <c r="I277" i="3"/>
  <c r="I123" i="3"/>
  <c r="I121" i="3"/>
  <c r="I252" i="3"/>
  <c r="H174" i="3"/>
  <c r="I316" i="3"/>
  <c r="I82" i="3"/>
  <c r="H98" i="3"/>
  <c r="H257" i="3"/>
  <c r="H122" i="3"/>
  <c r="I180" i="3"/>
  <c r="H225" i="3"/>
  <c r="H66" i="3"/>
  <c r="I174" i="3"/>
  <c r="I80" i="3"/>
  <c r="H50" i="3"/>
  <c r="H205" i="3"/>
  <c r="I351" i="3"/>
  <c r="H149" i="3"/>
  <c r="I225" i="3"/>
  <c r="I107" i="3"/>
  <c r="I269" i="3"/>
  <c r="H83" i="3"/>
  <c r="I166" i="3"/>
  <c r="I53" i="3"/>
  <c r="I96" i="3"/>
  <c r="H234" i="3"/>
  <c r="H218" i="3"/>
  <c r="I343" i="3"/>
  <c r="I52" i="3"/>
  <c r="H260" i="3"/>
  <c r="H284" i="3"/>
  <c r="H312" i="3"/>
  <c r="H136" i="3"/>
  <c r="H101" i="3"/>
  <c r="I172" i="3"/>
  <c r="H20" i="3"/>
  <c r="H165" i="3"/>
  <c r="I48" i="3"/>
  <c r="I213" i="3"/>
  <c r="I240" i="3"/>
  <c r="I117" i="3"/>
  <c r="H93" i="3"/>
  <c r="I175" i="3"/>
  <c r="I292" i="3"/>
  <c r="I77" i="3"/>
  <c r="H29" i="3"/>
  <c r="H360" i="3"/>
  <c r="H308" i="3"/>
  <c r="H151" i="3"/>
  <c r="I112" i="3"/>
  <c r="H246" i="3"/>
  <c r="H281" i="3"/>
  <c r="H79" i="3"/>
  <c r="I262" i="3"/>
  <c r="I111" i="3"/>
  <c r="I63" i="3"/>
  <c r="I206" i="3"/>
  <c r="I344" i="3"/>
  <c r="H23" i="3"/>
  <c r="I72" i="3"/>
  <c r="I128" i="3"/>
  <c r="H278" i="3"/>
  <c r="I29" i="3"/>
  <c r="H72" i="3"/>
  <c r="I285" i="3"/>
  <c r="H128" i="3"/>
  <c r="I278" i="3"/>
  <c r="H230" i="3"/>
  <c r="I218" i="3"/>
  <c r="I127" i="3"/>
  <c r="H374" i="3"/>
  <c r="H254" i="3"/>
  <c r="H87" i="3"/>
  <c r="I230" i="3"/>
  <c r="I308" i="3"/>
  <c r="H74" i="3"/>
  <c r="I367" i="3"/>
  <c r="I326" i="3"/>
  <c r="H310" i="3"/>
  <c r="I184" i="3"/>
  <c r="I238" i="3"/>
  <c r="I294" i="3"/>
  <c r="H198" i="3"/>
  <c r="I130" i="3"/>
  <c r="H302" i="3"/>
  <c r="H71" i="3"/>
  <c r="H294" i="3"/>
  <c r="H270" i="3"/>
  <c r="H258" i="3"/>
  <c r="I71" i="3"/>
  <c r="H111" i="3"/>
  <c r="I270" i="3"/>
  <c r="I374" i="3"/>
  <c r="H358" i="3"/>
  <c r="H367" i="3"/>
  <c r="H214" i="3"/>
  <c r="H112" i="3"/>
  <c r="I246" i="3"/>
  <c r="I281" i="3"/>
  <c r="I79" i="3"/>
  <c r="H47" i="3"/>
  <c r="H318" i="3"/>
  <c r="I23" i="3"/>
  <c r="H69" i="3"/>
  <c r="I318" i="3"/>
  <c r="H201" i="3"/>
  <c r="I191" i="3"/>
  <c r="H286" i="3"/>
  <c r="I69" i="3"/>
  <c r="H326" i="3"/>
  <c r="I201" i="3"/>
  <c r="H344" i="3"/>
  <c r="H238" i="3"/>
  <c r="I254" i="3"/>
  <c r="I87" i="3"/>
  <c r="H130" i="3"/>
  <c r="I244" i="3"/>
  <c r="H236" i="3"/>
  <c r="H184" i="3"/>
  <c r="H322" i="3"/>
  <c r="I135" i="3"/>
  <c r="I190" i="3"/>
  <c r="I103" i="3"/>
  <c r="H31" i="3"/>
  <c r="H135" i="3"/>
  <c r="H262" i="3"/>
  <c r="H287" i="3"/>
  <c r="H285" i="3"/>
  <c r="I376" i="3"/>
  <c r="H95" i="3"/>
  <c r="I214" i="3"/>
  <c r="I286" i="3"/>
  <c r="I358" i="3"/>
  <c r="I47" i="3"/>
  <c r="I119" i="3"/>
  <c r="I95" i="3"/>
  <c r="H39" i="3"/>
  <c r="H222" i="3"/>
  <c r="H119" i="3"/>
  <c r="H244" i="3"/>
  <c r="H127" i="3"/>
  <c r="I39" i="3"/>
  <c r="I222" i="3"/>
  <c r="H55" i="3"/>
  <c r="I302" i="3"/>
  <c r="H190" i="3"/>
  <c r="H103" i="3"/>
  <c r="I310" i="3"/>
  <c r="I20" i="3"/>
  <c r="I143" i="3"/>
  <c r="I198" i="3"/>
  <c r="I151" i="3"/>
  <c r="I322" i="3"/>
  <c r="H206" i="3"/>
  <c r="I287" i="3"/>
  <c r="I74" i="3"/>
  <c r="I55" i="3"/>
  <c r="H191" i="3"/>
  <c r="I360" i="3"/>
  <c r="I236" i="3"/>
  <c r="H143" i="3"/>
  <c r="H63" i="3"/>
  <c r="I31" i="3"/>
  <c r="L17" i="3"/>
  <c r="I13" i="3"/>
  <c r="H13" i="3"/>
  <c r="K17" i="3"/>
  <c r="I19" i="3"/>
  <c r="H17" i="3"/>
  <c r="I11" i="3"/>
  <c r="H11" i="3"/>
  <c r="I18" i="3"/>
  <c r="I17" i="3"/>
  <c r="H18" i="3"/>
  <c r="H19" i="3"/>
  <c r="S89" i="1"/>
  <c r="S88" i="1"/>
  <c r="J72" i="1"/>
  <c r="J74" i="1" s="1"/>
  <c r="J76" i="1" s="1"/>
  <c r="J78" i="1" s="1"/>
  <c r="H98" i="1" s="1"/>
  <c r="L99" i="1" s="1"/>
  <c r="H88" i="1"/>
  <c r="B83" i="1"/>
  <c r="E93" i="1"/>
  <c r="E92" i="1"/>
  <c r="E89" i="1"/>
  <c r="H87" i="4" l="1"/>
  <c r="J61" i="4"/>
  <c r="H77" i="4"/>
  <c r="H76" i="4"/>
  <c r="C51" i="4"/>
  <c r="C43" i="1"/>
  <c r="C53" i="4"/>
  <c r="C61" i="4" s="1"/>
  <c r="L81" i="5" s="1"/>
  <c r="C68" i="4"/>
  <c r="C79" i="4"/>
  <c r="C80" i="4" s="1"/>
  <c r="C81" i="4" s="1"/>
  <c r="C82" i="4" s="1"/>
  <c r="C86" i="4" s="1"/>
  <c r="C39" i="1" s="1"/>
  <c r="J115" i="1"/>
  <c r="A108" i="1"/>
  <c r="J111" i="1"/>
  <c r="H108" i="4"/>
  <c r="H105" i="4"/>
  <c r="H107" i="4" s="1"/>
  <c r="L98" i="1"/>
  <c r="H93" i="1"/>
  <c r="L93" i="1" s="1"/>
  <c r="L88" i="1"/>
  <c r="L89" i="1"/>
  <c r="E97" i="1"/>
  <c r="E98" i="1"/>
  <c r="C19" i="1" l="1"/>
  <c r="S96" i="1"/>
  <c r="H78" i="4"/>
  <c r="H80" i="4" s="1"/>
  <c r="C76" i="4"/>
  <c r="D44" i="1" s="1"/>
  <c r="D43" i="1"/>
  <c r="C71" i="4"/>
  <c r="C70" i="4"/>
  <c r="C84" i="4"/>
  <c r="H110" i="4"/>
  <c r="H111" i="4"/>
  <c r="H113" i="4" s="1"/>
  <c r="E108" i="1"/>
  <c r="E109" i="1"/>
  <c r="L94" i="1"/>
  <c r="C18" i="1" l="1"/>
  <c r="K113" i="1"/>
  <c r="P81" i="5"/>
  <c r="C90" i="4"/>
  <c r="C91" i="4" s="1"/>
  <c r="C72" i="4"/>
  <c r="C73" i="4" s="1"/>
  <c r="O93" i="1" l="1"/>
  <c r="K115" i="1"/>
  <c r="H118" i="4"/>
  <c r="H119" i="4" s="1"/>
  <c r="H120" i="4" s="1"/>
  <c r="O81" i="5"/>
  <c r="C74" i="4"/>
  <c r="C44" i="1" s="1"/>
  <c r="C92" i="4"/>
  <c r="C94" i="4" s="1"/>
  <c r="C95" i="4" s="1"/>
  <c r="C99" i="4" s="1"/>
  <c r="H59" i="4"/>
  <c r="H67" i="4" s="1"/>
  <c r="K110" i="1"/>
  <c r="R94" i="1" l="1"/>
  <c r="R93" i="1"/>
  <c r="A113" i="1"/>
  <c r="E113" i="1" s="1"/>
  <c r="K111" i="1"/>
  <c r="J59" i="4"/>
  <c r="H68" i="4"/>
  <c r="H69" i="4" s="1"/>
  <c r="H71" i="4" s="1"/>
  <c r="H85" i="4"/>
  <c r="C97" i="4"/>
  <c r="E114" i="1" l="1"/>
  <c r="C37" i="1"/>
  <c r="S101" i="1"/>
  <c r="C36" i="1"/>
  <c r="O98" i="1" l="1"/>
  <c r="R99" i="1" l="1"/>
  <c r="R98" i="1"/>
</calcChain>
</file>

<file path=xl/sharedStrings.xml><?xml version="1.0" encoding="utf-8"?>
<sst xmlns="http://schemas.openxmlformats.org/spreadsheetml/2006/main" count="780" uniqueCount="453">
  <si>
    <t>Tagesbruchteil</t>
  </si>
  <si>
    <t>HEUTE()</t>
  </si>
  <si>
    <t>Stunden</t>
  </si>
  <si>
    <t>Minuten</t>
  </si>
  <si>
    <t>Stundenbruchteil</t>
  </si>
  <si>
    <t>Minutenbruchteil</t>
  </si>
  <si>
    <t>Sekunden</t>
  </si>
  <si>
    <t>Stunden (Winkel)</t>
  </si>
  <si>
    <t>X (sin a)</t>
  </si>
  <si>
    <t>y (cos a)</t>
  </si>
  <si>
    <t>Minuten (Winkel)</t>
  </si>
  <si>
    <t>Sekunden (Winkel)</t>
  </si>
  <si>
    <t>JD0</t>
  </si>
  <si>
    <t>T0</t>
  </si>
  <si>
    <t>Sternzeit GMST(0)</t>
  </si>
  <si>
    <t xml:space="preserve">norm. 24h </t>
  </si>
  <si>
    <t>Sternzeit Greenwich (GMST(0))</t>
  </si>
  <si>
    <r>
      <rPr>
        <sz val="11"/>
        <color theme="1"/>
        <rFont val="Symbol"/>
        <family val="1"/>
        <charset val="2"/>
      </rPr>
      <t xml:space="preserve">q </t>
    </r>
    <r>
      <rPr>
        <sz val="11"/>
        <color theme="1"/>
        <rFont val="Calibri"/>
        <family val="2"/>
        <scheme val="minor"/>
      </rPr>
      <t>Greenwich (0 UTC)</t>
    </r>
  </si>
  <si>
    <t>Lokale Sternzeit (0)</t>
  </si>
  <si>
    <t>Sternzeit G</t>
  </si>
  <si>
    <t>Sternzeit Greenwich (GMST)</t>
  </si>
  <si>
    <r>
      <rPr>
        <sz val="11"/>
        <color theme="1"/>
        <rFont val="Symbol"/>
        <family val="1"/>
        <charset val="2"/>
      </rPr>
      <t xml:space="preserve">q </t>
    </r>
    <r>
      <rPr>
        <sz val="11"/>
        <color theme="1"/>
        <rFont val="Calibri"/>
        <family val="2"/>
        <scheme val="minor"/>
      </rPr>
      <t>Greenwich</t>
    </r>
  </si>
  <si>
    <t>HA Frühlingspunkt</t>
  </si>
  <si>
    <t>Lokale Sternzeit</t>
  </si>
  <si>
    <t>Datum, Uhrzeit</t>
  </si>
  <si>
    <t>Uhrzeit</t>
  </si>
  <si>
    <t>JD</t>
  </si>
  <si>
    <t>Tage J2000</t>
  </si>
  <si>
    <t>T</t>
  </si>
  <si>
    <t>Länge</t>
  </si>
  <si>
    <t>Sternzeit (GMST)</t>
  </si>
  <si>
    <t>Lokale Sternzeit (LST)</t>
  </si>
  <si>
    <t>UTC</t>
  </si>
  <si>
    <t>Stunden (Lokale Sternzeit, Winkel)</t>
  </si>
  <si>
    <t>Minuten (Lokale Sternzeit, Winkel)</t>
  </si>
  <si>
    <t>Sekunden (Lokale Sternzeit, Winkel)</t>
  </si>
  <si>
    <t>Sternzeit</t>
  </si>
  <si>
    <t>Meridian</t>
  </si>
  <si>
    <t>http://excelformeln.de/formeln.html?welcher=313</t>
  </si>
  <si>
    <t>a</t>
  </si>
  <si>
    <t>Drehung</t>
  </si>
  <si>
    <t>Verschieben x-Achse</t>
  </si>
  <si>
    <t>b</t>
  </si>
  <si>
    <t>Bogenmaß</t>
  </si>
  <si>
    <t>Verschieben y-Achse</t>
  </si>
  <si>
    <t>F1</t>
  </si>
  <si>
    <t>e</t>
  </si>
  <si>
    <r>
      <t>x</t>
    </r>
    <r>
      <rPr>
        <b/>
        <vertAlign val="subscript"/>
        <sz val="11"/>
        <color theme="1"/>
        <rFont val="Calibri"/>
        <family val="2"/>
        <scheme val="minor"/>
      </rPr>
      <t>(F1)</t>
    </r>
  </si>
  <si>
    <r>
      <t>y</t>
    </r>
    <r>
      <rPr>
        <b/>
        <vertAlign val="subscript"/>
        <sz val="11"/>
        <color theme="1"/>
        <rFont val="Calibri"/>
        <family val="2"/>
        <scheme val="minor"/>
      </rPr>
      <t>(F1)</t>
    </r>
  </si>
  <si>
    <t>x</t>
  </si>
  <si>
    <t>y</t>
  </si>
  <si>
    <t>Perihel</t>
  </si>
  <si>
    <t>Aphel</t>
  </si>
  <si>
    <t>Mittelpunkt</t>
  </si>
  <si>
    <t>Integration in Karte</t>
  </si>
  <si>
    <t>Sonne</t>
  </si>
  <si>
    <t>Mond</t>
  </si>
  <si>
    <t>L0</t>
  </si>
  <si>
    <t>M</t>
  </si>
  <si>
    <t>LÄNGE</t>
  </si>
  <si>
    <t>Sonne Ekliptikale Länge</t>
  </si>
  <si>
    <t>Mittlere Länge</t>
  </si>
  <si>
    <t>Mittlere Anomalie</t>
  </si>
  <si>
    <t>l</t>
  </si>
  <si>
    <t>l´</t>
  </si>
  <si>
    <t>F</t>
  </si>
  <si>
    <t>D</t>
  </si>
  <si>
    <t>Abweichung vom Mittel (L0) in Grad</t>
  </si>
  <si>
    <t>Breite</t>
  </si>
  <si>
    <t>Korrektur Distanz Erde - Mond</t>
  </si>
  <si>
    <t xml:space="preserve">cos L </t>
  </si>
  <si>
    <t>halber Tagbogen (Stunden) ohne Eigenbewegung</t>
  </si>
  <si>
    <t>Delta Rektaszension</t>
  </si>
  <si>
    <t>COS Winkelabstand heute/gestern</t>
  </si>
  <si>
    <t>Winkelabstand GRAD zwischen heute/gestern</t>
  </si>
  <si>
    <t>Aktuelle Winkelgeschwindigkeit pro Stunde</t>
  </si>
  <si>
    <t>Zeit zwischen MA und MD (Stunden)</t>
  </si>
  <si>
    <t>cos L</t>
  </si>
  <si>
    <t>Elongation</t>
  </si>
  <si>
    <t>positiv</t>
  </si>
  <si>
    <t>Phase %</t>
  </si>
  <si>
    <t>HA Mond</t>
  </si>
  <si>
    <t>HA Sonne</t>
  </si>
  <si>
    <t>cos tau</t>
  </si>
  <si>
    <t>Azimut Mond</t>
  </si>
  <si>
    <t>Azimut Sonne</t>
  </si>
  <si>
    <t>Höhe Mond</t>
  </si>
  <si>
    <t>Höhe Sonne</t>
  </si>
  <si>
    <t>Kulminationshöhe Sonne</t>
  </si>
  <si>
    <t>ZG°</t>
  </si>
  <si>
    <t>Zeitgleichung (min)</t>
  </si>
  <si>
    <t>Mittlerer MD (lokal)</t>
  </si>
  <si>
    <t>Mittlerer MD (lokal)- ZG</t>
  </si>
  <si>
    <t>Meridiandurchgang (lokal)</t>
  </si>
  <si>
    <t>Halber Tagbogen (h)</t>
  </si>
  <si>
    <t>Sonnenaufgang</t>
  </si>
  <si>
    <t>Sonnenuntergang</t>
  </si>
  <si>
    <t>Tageslänge (h)</t>
  </si>
  <si>
    <t>Meridiandurchgang Mond</t>
  </si>
  <si>
    <t>r</t>
  </si>
  <si>
    <t>MOND</t>
  </si>
  <si>
    <t>SONNE</t>
  </si>
  <si>
    <t>Korrekturfaktor</t>
  </si>
  <si>
    <t>Stundenwinkel</t>
  </si>
  <si>
    <t>Mittlerer Bahnradius</t>
  </si>
  <si>
    <t>Monddurchmesser</t>
  </si>
  <si>
    <t>Erdradius</t>
  </si>
  <si>
    <t>Mittlere Exzentrizität</t>
  </si>
  <si>
    <t>Sonne, Mond und Planeten</t>
  </si>
  <si>
    <t>DATUM</t>
  </si>
  <si>
    <r>
      <rPr>
        <b/>
        <sz val="11"/>
        <color theme="1"/>
        <rFont val="Calibri"/>
        <family val="2"/>
        <scheme val="minor"/>
      </rPr>
      <t>Julianisches Datum:</t>
    </r>
    <r>
      <rPr>
        <sz val="11"/>
        <color theme="1"/>
        <rFont val="Calibri"/>
        <family val="2"/>
        <scheme val="minor"/>
      </rPr>
      <t xml:space="preserve"> Anzahl der Tage seit dem 01. Januar -4723, 00:00 UT</t>
    </r>
  </si>
  <si>
    <t>Datencheck:</t>
  </si>
  <si>
    <t>NASA https://omniweb.gsfc.nasa.gov/coho/helios/planet.html</t>
  </si>
  <si>
    <t>Redshift</t>
  </si>
  <si>
    <t>KOSMOS- Himmelsjahr 2018</t>
  </si>
  <si>
    <r>
      <rPr>
        <b/>
        <sz val="11"/>
        <color theme="1"/>
        <rFont val="Calibri"/>
        <family val="2"/>
        <scheme val="minor"/>
      </rPr>
      <t>T:</t>
    </r>
    <r>
      <rPr>
        <sz val="11"/>
        <color theme="1"/>
        <rFont val="Calibri"/>
        <family val="2"/>
        <scheme val="minor"/>
      </rPr>
      <t xml:space="preserve"> Anzahl der dem 01.01.2000 vergangenen Jahrhunderte seit </t>
    </r>
  </si>
  <si>
    <t>calsky (www.calsky.com)</t>
  </si>
  <si>
    <r>
      <rPr>
        <i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Exzentrische Anomalie</t>
    </r>
  </si>
  <si>
    <t>http://www.jgiesen.de/kepler/kepler.html</t>
  </si>
  <si>
    <r>
      <rPr>
        <i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>=M+180/PI((e-1/8*e^3)*sinM+1/2*e^2*sin(2*M)+3/8*e^3*sin(3`M))</t>
    </r>
  </si>
  <si>
    <t>Julianisches Datum</t>
  </si>
  <si>
    <t>Tage</t>
  </si>
  <si>
    <t>v Wahre Anomalie</t>
  </si>
  <si>
    <t>T (Jahrhunderte)</t>
  </si>
  <si>
    <t>http://www.stargazing.net/kepler/ellipse.html#twig03c</t>
  </si>
  <si>
    <r>
      <t xml:space="preserve">   </t>
    </r>
    <r>
      <rPr>
        <i/>
        <sz val="10"/>
        <color theme="1"/>
        <rFont val="Arial Unicode MS"/>
        <family val="2"/>
      </rPr>
      <t xml:space="preserve"> v</t>
    </r>
    <r>
      <rPr>
        <sz val="10"/>
        <color theme="1"/>
        <rFont val="Arial Unicode MS"/>
        <family val="2"/>
      </rPr>
      <t xml:space="preserve"> = M + 180/pi * [ (2 * e - e^3/4) * sin(M) + 5/4 * e^2 * sin(2*M)+ 13/12 * e^3 * sin(3*M) ]</t>
    </r>
  </si>
  <si>
    <t>Ephemeriden Epoche J2000</t>
  </si>
  <si>
    <t>2451545.0 JD</t>
  </si>
  <si>
    <t>http://www.met.rdg.ac.uk/~ross/Astronomy/Planets.html#elems</t>
  </si>
  <si>
    <t>Bahnradius</t>
  </si>
  <si>
    <t>University of Reading</t>
  </si>
  <si>
    <t>https://www.arndt-bruenner.de/mathe/scripts/kepler.htm</t>
  </si>
  <si>
    <r>
      <t>a·(1 – e²)/(1 + e·cos(</t>
    </r>
    <r>
      <rPr>
        <i/>
        <sz val="11"/>
        <color theme="1"/>
        <rFont val="Calibri"/>
        <family val="2"/>
        <scheme val="minor"/>
      </rPr>
      <t>v</t>
    </r>
    <r>
      <rPr>
        <sz val="11"/>
        <color theme="1"/>
        <rFont val="Calibri"/>
        <family val="2"/>
        <scheme val="minor"/>
      </rPr>
      <t>))</t>
    </r>
  </si>
  <si>
    <t>Distanz zur Sonne</t>
  </si>
  <si>
    <t>Heliozentrische Länge</t>
  </si>
  <si>
    <t>Exzentrizität der Bahn</t>
  </si>
  <si>
    <t>Heliozentrische Länge der Periapsis</t>
  </si>
  <si>
    <t>Bahnneigung zur Ekliptik (Inklination)</t>
  </si>
  <si>
    <t>Heliozentrische Länge des aufsteigenden Knotens</t>
  </si>
  <si>
    <t>Planet</t>
  </si>
  <si>
    <t>Dl</t>
  </si>
  <si>
    <r>
      <t>D</t>
    </r>
    <r>
      <rPr>
        <sz val="11"/>
        <color theme="1"/>
        <rFont val="Calibri"/>
        <family val="2"/>
        <scheme val="minor"/>
      </rPr>
      <t>e</t>
    </r>
  </si>
  <si>
    <r>
      <t>Länge (</t>
    </r>
    <r>
      <rPr>
        <sz val="11"/>
        <color theme="1"/>
        <rFont val="Symbol"/>
        <family val="1"/>
        <charset val="2"/>
      </rPr>
      <t>v</t>
    </r>
    <r>
      <rPr>
        <sz val="11"/>
        <color theme="1"/>
        <rFont val="Calibri"/>
        <family val="2"/>
      </rPr>
      <t>, °)</t>
    </r>
  </si>
  <si>
    <t>Dv</t>
  </si>
  <si>
    <t>i</t>
  </si>
  <si>
    <r>
      <t>D</t>
    </r>
    <r>
      <rPr>
        <i/>
        <sz val="11"/>
        <color theme="1"/>
        <rFont val="Calibri"/>
        <family val="2"/>
        <scheme val="minor"/>
      </rPr>
      <t>i</t>
    </r>
  </si>
  <si>
    <r>
      <t>Länge (</t>
    </r>
    <r>
      <rPr>
        <sz val="11"/>
        <color theme="1"/>
        <rFont val="Symbol"/>
        <family val="1"/>
        <charset val="2"/>
      </rPr>
      <t>W</t>
    </r>
    <r>
      <rPr>
        <sz val="11"/>
        <color theme="1"/>
        <rFont val="Calibri"/>
        <family val="2"/>
      </rPr>
      <t>, °)</t>
    </r>
  </si>
  <si>
    <t>DW</t>
  </si>
  <si>
    <t>AE</t>
  </si>
  <si>
    <t>AE/Jh</t>
  </si>
  <si>
    <t>(°)</t>
  </si>
  <si>
    <t>"/Jh</t>
  </si>
  <si>
    <t>°/Jh</t>
  </si>
  <si>
    <t>/Jh</t>
  </si>
  <si>
    <t xml:space="preserve">Periapsis </t>
  </si>
  <si>
    <r>
      <t xml:space="preserve">Aufsteigender Knoten </t>
    </r>
    <r>
      <rPr>
        <sz val="11"/>
        <color theme="1"/>
        <rFont val="Symbol"/>
        <family val="1"/>
        <charset val="2"/>
      </rPr>
      <t>W</t>
    </r>
  </si>
  <si>
    <t>Merkur</t>
  </si>
  <si>
    <t>Venus</t>
  </si>
  <si>
    <t>Erde</t>
  </si>
  <si>
    <t>Mars</t>
  </si>
  <si>
    <t>Jupiter</t>
  </si>
  <si>
    <t>Saturn</t>
  </si>
  <si>
    <t>Uranus</t>
  </si>
  <si>
    <t>Neptun</t>
  </si>
  <si>
    <t>Pluto</t>
  </si>
  <si>
    <r>
      <t xml:space="preserve">Heliozentrische Länge </t>
    </r>
    <r>
      <rPr>
        <sz val="11"/>
        <rFont val="Symbol"/>
        <family val="1"/>
        <charset val="2"/>
      </rPr>
      <t>l</t>
    </r>
    <r>
      <rPr>
        <sz val="11"/>
        <rFont val="Calibri"/>
        <family val="2"/>
        <scheme val="minor"/>
      </rPr>
      <t>(°)</t>
    </r>
  </si>
  <si>
    <t>Exzentrizität</t>
  </si>
  <si>
    <t xml:space="preserve">Inklination </t>
  </si>
  <si>
    <t>Knoten, (°)</t>
  </si>
  <si>
    <t>Heliozentrische Breite</t>
  </si>
  <si>
    <t>Rohwerte</t>
  </si>
  <si>
    <r>
      <rPr>
        <b/>
        <sz val="11"/>
        <color theme="1"/>
        <rFont val="Symbol"/>
        <family val="1"/>
        <charset val="2"/>
      </rPr>
      <t>l</t>
    </r>
    <r>
      <rPr>
        <b/>
        <sz val="11"/>
        <color theme="1"/>
        <rFont val="Calibri"/>
        <family val="2"/>
        <scheme val="minor"/>
      </rPr>
      <t xml:space="preserve"> (°)</t>
    </r>
  </si>
  <si>
    <r>
      <rPr>
        <sz val="11"/>
        <color theme="1"/>
        <rFont val="Symbol"/>
        <family val="1"/>
        <charset val="2"/>
      </rPr>
      <t>l</t>
    </r>
    <r>
      <rPr>
        <sz val="11"/>
        <color theme="1"/>
        <rFont val="Calibri"/>
        <family val="2"/>
        <scheme val="minor"/>
      </rPr>
      <t xml:space="preserve">° </t>
    </r>
  </si>
  <si>
    <r>
      <rPr>
        <b/>
        <sz val="11"/>
        <color theme="1"/>
        <rFont val="Calibri"/>
        <family val="2"/>
        <scheme val="minor"/>
      </rPr>
      <t xml:space="preserve">i </t>
    </r>
    <r>
      <rPr>
        <sz val="11"/>
        <color theme="1"/>
        <rFont val="Calibri"/>
        <family val="2"/>
        <scheme val="minor"/>
      </rPr>
      <t>(°)</t>
    </r>
  </si>
  <si>
    <t>W</t>
  </si>
  <si>
    <t>Exzentrische Anomalie</t>
  </si>
  <si>
    <t>Wahre Anomalie</t>
  </si>
  <si>
    <t>Entfernung</t>
  </si>
  <si>
    <t>E</t>
  </si>
  <si>
    <t>v</t>
  </si>
  <si>
    <t>r (AE)</t>
  </si>
  <si>
    <t>Mill. km</t>
  </si>
  <si>
    <t>Erde-Planet AE</t>
  </si>
  <si>
    <t>Erde-Planet (Mill. Km)</t>
  </si>
  <si>
    <t>DIAGRAMME</t>
  </si>
  <si>
    <t>Heliozentrisch</t>
  </si>
  <si>
    <t>Geozentrisch</t>
  </si>
  <si>
    <t xml:space="preserve">Ekliptikale </t>
  </si>
  <si>
    <t>Ekliptikale</t>
  </si>
  <si>
    <t>Geozentrische Position</t>
  </si>
  <si>
    <t>Länge (°)</t>
  </si>
  <si>
    <t>Breite (°)</t>
  </si>
  <si>
    <t>RA</t>
  </si>
  <si>
    <t>Deklination</t>
  </si>
  <si>
    <t>Y</t>
  </si>
  <si>
    <t>Tabelle3</t>
  </si>
  <si>
    <t>Tabelle5</t>
  </si>
  <si>
    <t>Ekliptikale Länge</t>
  </si>
  <si>
    <t>Tabelle4</t>
  </si>
  <si>
    <t>Berechnung der X/Y-Koordinaten</t>
  </si>
  <si>
    <t>Sinussatz:</t>
  </si>
  <si>
    <t>von der Sonne</t>
  </si>
  <si>
    <t>Planeten</t>
  </si>
  <si>
    <t>Tabelle2:</t>
  </si>
  <si>
    <t>Tabelle2</t>
  </si>
  <si>
    <t>Länge des aufsteigenden Knotens (°)</t>
  </si>
  <si>
    <t>Bahnneigung (Inklination, °)</t>
  </si>
  <si>
    <t>w</t>
  </si>
  <si>
    <t>Argument des Perihels (Länge Perihel - Länge aufsteigender Knoten)</t>
  </si>
  <si>
    <t>Mittlerer Bahnradius (AU)</t>
  </si>
  <si>
    <t>E=</t>
  </si>
  <si>
    <t>M+(180/PI()*e*SIN(BOGENMASS(M))*(1+e*COS(BOGENMASS(M))))</t>
  </si>
  <si>
    <t>Iteration</t>
  </si>
  <si>
    <t>E-(E-180/PI()*e*SIN(BOGENMASS(E))-M)/(1-e*SIN(BOGENMASS(E)))</t>
  </si>
  <si>
    <t>Alternativ</t>
  </si>
  <si>
    <t>M+180/PI()*(((e-1/8*e^3)*SIN(BOGENMASS(M))+(1/2)*(e^2)*SIN(BOGENMASS(2*M)))+3/8*e^3*SIN(BOGENMASS(3*M)))</t>
  </si>
  <si>
    <t>Umwandlung ins ebene Koordinatensystem (X,Y)</t>
  </si>
  <si>
    <t>a * (cos(E) - e)</t>
  </si>
  <si>
    <t>a * WURZEL(1 - e^2) * sinE</t>
  </si>
  <si>
    <r>
      <t>Entfernung (</t>
    </r>
    <r>
      <rPr>
        <b/>
        <i/>
        <sz val="12"/>
        <color theme="1"/>
        <rFont val="Calibri"/>
        <family val="2"/>
        <scheme val="minor"/>
      </rPr>
      <t>r</t>
    </r>
    <r>
      <rPr>
        <b/>
        <sz val="12"/>
        <color theme="1"/>
        <rFont val="Calibri"/>
        <family val="2"/>
        <scheme val="minor"/>
      </rPr>
      <t>) und Wahre Anomalie (</t>
    </r>
    <r>
      <rPr>
        <b/>
        <i/>
        <sz val="12"/>
        <color theme="1"/>
        <rFont val="Calibri"/>
        <family val="2"/>
        <scheme val="minor"/>
      </rPr>
      <t>v</t>
    </r>
    <r>
      <rPr>
        <b/>
        <sz val="12"/>
        <color theme="1"/>
        <rFont val="Calibri"/>
        <family val="2"/>
        <scheme val="minor"/>
      </rPr>
      <t>)</t>
    </r>
  </si>
  <si>
    <t>WURZEL( x^2 + y^2 )</t>
  </si>
  <si>
    <t>E18*(1-E19^2)/(1+E19*COS(BOGENMASS(E41)))</t>
  </si>
  <si>
    <t>a*(1-e^2)/(1+e*COS(BOGENMASS(T)))</t>
  </si>
  <si>
    <t>arctan2( y, x )</t>
  </si>
  <si>
    <t>M + 180/pi * [ (2 * e - e^3/4) * sin(M) + 5/4 * e^2 * sin(2*M)  + 13/12 * e^3 * sin(3*M) ]</t>
  </si>
  <si>
    <t>Heliozentrisch Ekliptikale Position des Planeten</t>
  </si>
  <si>
    <r>
      <t>x</t>
    </r>
    <r>
      <rPr>
        <vertAlign val="subscript"/>
        <sz val="11"/>
        <color theme="1"/>
        <rFont val="Calibri"/>
        <family val="2"/>
        <scheme val="minor"/>
      </rPr>
      <t xml:space="preserve">(Ekliptik P) </t>
    </r>
    <r>
      <rPr>
        <sz val="11"/>
        <color theme="1"/>
        <rFont val="Calibri"/>
        <family val="2"/>
        <scheme val="minor"/>
      </rPr>
      <t>=</t>
    </r>
  </si>
  <si>
    <r>
      <t>r*(COS(</t>
    </r>
    <r>
      <rPr>
        <i/>
        <sz val="11"/>
        <color theme="1"/>
        <rFont val="Symbol"/>
        <family val="1"/>
        <charset val="2"/>
      </rPr>
      <t>W)</t>
    </r>
    <r>
      <rPr>
        <sz val="11"/>
        <color theme="1"/>
        <rFont val="Calibri"/>
        <family val="2"/>
        <scheme val="minor"/>
      </rPr>
      <t>*COS(</t>
    </r>
    <r>
      <rPr>
        <i/>
        <sz val="11"/>
        <color theme="1"/>
        <rFont val="Calibri"/>
        <family val="2"/>
        <scheme val="minor"/>
      </rPr>
      <t>v</t>
    </r>
    <r>
      <rPr>
        <sz val="11"/>
        <color theme="1"/>
        <rFont val="Calibri"/>
        <family val="2"/>
        <scheme val="minor"/>
      </rPr>
      <t>+</t>
    </r>
    <r>
      <rPr>
        <i/>
        <sz val="11"/>
        <color theme="1"/>
        <rFont val="Calibri"/>
        <family val="2"/>
        <scheme val="minor"/>
      </rPr>
      <t>w)</t>
    </r>
    <r>
      <rPr>
        <sz val="11"/>
        <color theme="1"/>
        <rFont val="Calibri"/>
        <family val="2"/>
        <scheme val="minor"/>
      </rPr>
      <t>-SIN(</t>
    </r>
    <r>
      <rPr>
        <i/>
        <sz val="11"/>
        <color theme="1"/>
        <rFont val="Symbol"/>
        <family val="1"/>
        <charset val="2"/>
      </rPr>
      <t>W)</t>
    </r>
    <r>
      <rPr>
        <sz val="11"/>
        <color theme="1"/>
        <rFont val="Calibri"/>
        <family val="2"/>
        <scheme val="minor"/>
      </rPr>
      <t>*SIN(</t>
    </r>
    <r>
      <rPr>
        <i/>
        <sz val="11"/>
        <color theme="1"/>
        <rFont val="Calibri"/>
        <family val="2"/>
        <scheme val="minor"/>
      </rPr>
      <t>v</t>
    </r>
    <r>
      <rPr>
        <sz val="11"/>
        <color theme="1"/>
        <rFont val="Calibri"/>
        <family val="2"/>
        <scheme val="minor"/>
      </rPr>
      <t>+</t>
    </r>
    <r>
      <rPr>
        <i/>
        <sz val="11"/>
        <color theme="1"/>
        <rFont val="Calibri"/>
        <family val="2"/>
        <scheme val="minor"/>
      </rPr>
      <t>w)</t>
    </r>
    <r>
      <rPr>
        <sz val="11"/>
        <color theme="1"/>
        <rFont val="Calibri"/>
        <family val="2"/>
        <scheme val="minor"/>
      </rPr>
      <t>)*COS(</t>
    </r>
    <r>
      <rPr>
        <i/>
        <sz val="11"/>
        <color theme="1"/>
        <rFont val="Calibri"/>
        <family val="2"/>
        <scheme val="minor"/>
      </rPr>
      <t>i</t>
    </r>
    <r>
      <rPr>
        <sz val="11"/>
        <color theme="1"/>
        <rFont val="Calibri"/>
        <family val="2"/>
        <scheme val="minor"/>
      </rPr>
      <t>))</t>
    </r>
  </si>
  <si>
    <r>
      <t>Y</t>
    </r>
    <r>
      <rPr>
        <vertAlign val="subscript"/>
        <sz val="11"/>
        <color theme="1"/>
        <rFont val="Calibri"/>
        <family val="2"/>
        <scheme val="minor"/>
      </rPr>
      <t xml:space="preserve">(Ekliptik P) </t>
    </r>
    <r>
      <rPr>
        <sz val="11"/>
        <color theme="1"/>
        <rFont val="Calibri"/>
        <family val="2"/>
        <scheme val="minor"/>
      </rPr>
      <t>=</t>
    </r>
  </si>
  <si>
    <r>
      <t xml:space="preserve"> r*(SIN(</t>
    </r>
    <r>
      <rPr>
        <i/>
        <sz val="11"/>
        <color theme="1"/>
        <rFont val="Symbol"/>
        <family val="1"/>
        <charset val="2"/>
      </rPr>
      <t>W</t>
    </r>
    <r>
      <rPr>
        <sz val="11"/>
        <color theme="1"/>
        <rFont val="Calibri"/>
        <family val="2"/>
        <scheme val="minor"/>
      </rPr>
      <t>)*COS(</t>
    </r>
    <r>
      <rPr>
        <i/>
        <sz val="11"/>
        <color theme="1"/>
        <rFont val="Calibri"/>
        <family val="2"/>
        <scheme val="minor"/>
      </rPr>
      <t>v</t>
    </r>
    <r>
      <rPr>
        <sz val="11"/>
        <color theme="1"/>
        <rFont val="Calibri"/>
        <family val="2"/>
        <scheme val="minor"/>
      </rPr>
      <t>+</t>
    </r>
    <r>
      <rPr>
        <i/>
        <sz val="11"/>
        <color theme="1"/>
        <rFont val="Calibri"/>
        <family val="2"/>
        <scheme val="minor"/>
      </rPr>
      <t>w</t>
    </r>
    <r>
      <rPr>
        <sz val="11"/>
        <color theme="1"/>
        <rFont val="Calibri"/>
        <family val="2"/>
        <scheme val="minor"/>
      </rPr>
      <t>)+COS(</t>
    </r>
    <r>
      <rPr>
        <i/>
        <sz val="11"/>
        <color theme="1"/>
        <rFont val="Symbol"/>
        <family val="1"/>
        <charset val="2"/>
      </rPr>
      <t>W</t>
    </r>
    <r>
      <rPr>
        <sz val="11"/>
        <color theme="1"/>
        <rFont val="Calibri"/>
        <family val="2"/>
        <scheme val="minor"/>
      </rPr>
      <t>)*SIN(</t>
    </r>
    <r>
      <rPr>
        <i/>
        <sz val="11"/>
        <color theme="1"/>
        <rFont val="Calibri"/>
        <family val="2"/>
        <scheme val="minor"/>
      </rPr>
      <t>v</t>
    </r>
    <r>
      <rPr>
        <sz val="11"/>
        <color theme="1"/>
        <rFont val="Calibri"/>
        <family val="2"/>
        <scheme val="minor"/>
      </rPr>
      <t>+</t>
    </r>
    <r>
      <rPr>
        <i/>
        <sz val="11"/>
        <color theme="1"/>
        <rFont val="Calibri"/>
        <family val="2"/>
        <scheme val="minor"/>
      </rPr>
      <t>w</t>
    </r>
    <r>
      <rPr>
        <sz val="11"/>
        <color theme="1"/>
        <rFont val="Calibri"/>
        <family val="2"/>
        <scheme val="minor"/>
      </rPr>
      <t>))*COS(</t>
    </r>
    <r>
      <rPr>
        <i/>
        <sz val="11"/>
        <color theme="1"/>
        <rFont val="Calibri"/>
        <family val="2"/>
        <scheme val="minor"/>
      </rPr>
      <t>i</t>
    </r>
    <r>
      <rPr>
        <sz val="11"/>
        <color theme="1"/>
        <rFont val="Calibri"/>
        <family val="2"/>
        <scheme val="minor"/>
      </rPr>
      <t>))</t>
    </r>
  </si>
  <si>
    <r>
      <t>Z</t>
    </r>
    <r>
      <rPr>
        <vertAlign val="subscript"/>
        <sz val="11"/>
        <color theme="1"/>
        <rFont val="Calibri"/>
        <family val="2"/>
        <scheme val="minor"/>
      </rPr>
      <t xml:space="preserve">(Ekliptik P) </t>
    </r>
    <r>
      <rPr>
        <sz val="11"/>
        <color theme="1"/>
        <rFont val="Calibri"/>
        <family val="2"/>
        <scheme val="minor"/>
      </rPr>
      <t>=</t>
    </r>
  </si>
  <si>
    <r>
      <t>r*SIN(</t>
    </r>
    <r>
      <rPr>
        <i/>
        <sz val="11"/>
        <color theme="1"/>
        <rFont val="Calibri"/>
        <family val="2"/>
        <scheme val="minor"/>
      </rPr>
      <t>v</t>
    </r>
    <r>
      <rPr>
        <sz val="11"/>
        <color theme="1"/>
        <rFont val="Calibri"/>
        <family val="2"/>
        <scheme val="minor"/>
      </rPr>
      <t>+</t>
    </r>
    <r>
      <rPr>
        <i/>
        <sz val="11"/>
        <color theme="1"/>
        <rFont val="Calibri"/>
        <family val="2"/>
        <scheme val="minor"/>
      </rPr>
      <t>w</t>
    </r>
    <r>
      <rPr>
        <sz val="11"/>
        <color theme="1"/>
        <rFont val="Calibri"/>
        <family val="2"/>
        <scheme val="minor"/>
      </rPr>
      <t>)*SIN(</t>
    </r>
    <r>
      <rPr>
        <i/>
        <sz val="11"/>
        <color theme="1"/>
        <rFont val="Calibri"/>
        <family val="2"/>
        <scheme val="minor"/>
      </rPr>
      <t>i</t>
    </r>
    <r>
      <rPr>
        <sz val="11"/>
        <color theme="1"/>
        <rFont val="Calibri"/>
        <family val="2"/>
        <scheme val="minor"/>
      </rPr>
      <t>))</t>
    </r>
  </si>
  <si>
    <t>arctan2(y;x)</t>
  </si>
  <si>
    <t>WENN(ARCTAN2(E44;E46)*180/PI()&lt;0;360+ARCTAN2(E44;E46)*180/PI();ARCTAN2(E44;E46)*180/PI())</t>
  </si>
  <si>
    <t>alternativ</t>
  </si>
  <si>
    <t>ARCTAN2(E44;E46)*180/PI()-GANZZAHL((ARCTAN2(E44;E46)*180/PI())/360)*360</t>
  </si>
  <si>
    <t>arctan2(z;WURZEL(x^2+y^2)</t>
  </si>
  <si>
    <t>ARCTAN2(E48;WURZEL(E44^2+E46^2))*180/PI()-GANZZAHL(ARCTAN2(E48;WURZEL(E44^2+E46^2))*180/PI()/360)*360</t>
  </si>
  <si>
    <t>WENN(ARCTAN2(E48;WURZEL(E44^2+E46^2))*180/PI()&lt;0;360+ARCTAN2(E48;WURZEL(E44^2+E46^2))*180/PI();ARCTAN2(E48;WURZEL(E44^2+E46^2))*180/PI())</t>
  </si>
  <si>
    <t>LAT</t>
  </si>
  <si>
    <t>WENN LAT&gt;i; 90-LAT</t>
  </si>
  <si>
    <t>Distanz Sonne-Planet</t>
  </si>
  <si>
    <t>WURZEL(x^2+y^2+z^2)</t>
  </si>
  <si>
    <t>a*(1-e^2)/(1+e*COS(M))</t>
  </si>
  <si>
    <t>Länge (Sonne)</t>
  </si>
  <si>
    <r>
      <rPr>
        <b/>
        <sz val="11"/>
        <color theme="1"/>
        <rFont val="Calibri"/>
        <family val="2"/>
        <scheme val="minor"/>
      </rPr>
      <t>Julianisches Datum:</t>
    </r>
    <r>
      <rPr>
        <sz val="11"/>
        <color theme="1"/>
        <rFont val="Calibri"/>
        <family val="2"/>
        <scheme val="minor"/>
      </rPr>
      <t xml:space="preserve"> Anzahl seit 01.01. -4723, 00:00 UT</t>
    </r>
  </si>
  <si>
    <t>GMST0=</t>
  </si>
  <si>
    <r>
      <t>Länge</t>
    </r>
    <r>
      <rPr>
        <sz val="11"/>
        <color theme="1"/>
        <rFont val="Symbol"/>
        <family val="1"/>
        <charset val="2"/>
      </rPr>
      <t xml:space="preserve"> l</t>
    </r>
    <r>
      <rPr>
        <sz val="11"/>
        <color theme="1"/>
        <rFont val="Calibri"/>
        <family val="2"/>
        <scheme val="minor"/>
      </rPr>
      <t>°</t>
    </r>
  </si>
  <si>
    <t>Uhrzeit (UT)</t>
  </si>
  <si>
    <t>SIDTIME</t>
  </si>
  <si>
    <r>
      <rPr>
        <b/>
        <sz val="11"/>
        <color theme="1"/>
        <rFont val="Calibri"/>
        <family val="2"/>
        <scheme val="minor"/>
      </rPr>
      <t>T:</t>
    </r>
    <r>
      <rPr>
        <sz val="11"/>
        <color theme="1"/>
        <rFont val="Calibri"/>
        <family val="2"/>
        <scheme val="minor"/>
      </rPr>
      <t xml:space="preserve"> Anzahl der seit 01.01.2000 vergangenen Jahrhunderte </t>
    </r>
  </si>
  <si>
    <t>Julianisches Datum (JD)</t>
  </si>
  <si>
    <t>"+1" , Korrektur</t>
  </si>
  <si>
    <t>2451544,5+B3-DATUM(2000;1;1)+1</t>
  </si>
  <si>
    <t>2451544,5 + DATUM - DATUM(2000;1;1)</t>
  </si>
  <si>
    <t>Differenz zu J2000</t>
  </si>
  <si>
    <t>B3-DATUM(2000;1;1)+1</t>
  </si>
  <si>
    <t>DATUM - DATUM(2000;1;1) +1</t>
  </si>
  <si>
    <t>(C14-2451545)/36525</t>
  </si>
  <si>
    <t>JD-2451545)/36525</t>
  </si>
  <si>
    <t>282,9404+0,0000470935*C16</t>
  </si>
  <si>
    <t>Länge des Perihelions (Periapsis)</t>
  </si>
  <si>
    <r>
      <rPr>
        <i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=</t>
    </r>
  </si>
  <si>
    <t>Mittlere Distanz Erde - Somnne (1 AU)</t>
  </si>
  <si>
    <r>
      <rPr>
        <i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>=</t>
    </r>
  </si>
  <si>
    <t>0,016709-0,000000001151*C16</t>
  </si>
  <si>
    <r>
      <rPr>
        <i/>
        <sz val="11"/>
        <color theme="1"/>
        <rFont val="Calibri"/>
        <family val="2"/>
        <scheme val="minor"/>
      </rPr>
      <t>M</t>
    </r>
    <r>
      <rPr>
        <sz val="11"/>
        <color theme="1"/>
        <rFont val="Calibri"/>
        <family val="2"/>
        <scheme val="minor"/>
      </rPr>
      <t>=</t>
    </r>
  </si>
  <si>
    <t>356,047+0,9856002585*C16</t>
  </si>
  <si>
    <t>E26-GANZZAHL(E26/360)*360</t>
  </si>
  <si>
    <t>Auf Bereich 0°-360° reduziert: M-GANZZAHL(L/360)*360</t>
  </si>
  <si>
    <t>E20+E27</t>
  </si>
  <si>
    <r>
      <t>L=</t>
    </r>
    <r>
      <rPr>
        <sz val="11"/>
        <color theme="1"/>
        <rFont val="Symbol"/>
        <family val="1"/>
        <charset val="2"/>
      </rPr>
      <t>v</t>
    </r>
    <r>
      <rPr>
        <sz val="11"/>
        <color theme="1"/>
        <rFont val="Calibri"/>
        <family val="2"/>
        <scheme val="minor"/>
      </rPr>
      <t>+M</t>
    </r>
  </si>
  <si>
    <t>E30-GANZZAHL(E30/360)*360</t>
  </si>
  <si>
    <t>Auf Bereich 0°-360° reduziert: L-GANZZAHL(L/360)*360</t>
  </si>
  <si>
    <r>
      <rPr>
        <i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>=</t>
    </r>
  </si>
  <si>
    <t>E27+(180/PI()*E24*SIN(BOGENMASS(E27))*(1+E24*COS(BOGENMASS(E27))))</t>
  </si>
  <si>
    <t>X</t>
  </si>
  <si>
    <t>COS(BOGENMASS(E33))-E24</t>
  </si>
  <si>
    <r>
      <t>X=cos(</t>
    </r>
    <r>
      <rPr>
        <i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) - </t>
    </r>
    <r>
      <rPr>
        <i/>
        <sz val="11"/>
        <color theme="1"/>
        <rFont val="Calibri"/>
        <family val="2"/>
        <scheme val="minor"/>
      </rPr>
      <t>e</t>
    </r>
  </si>
  <si>
    <t>SIN(BOGENMASS(E33))*WURZEL(1-E24^2)</t>
  </si>
  <si>
    <r>
      <t>Y=sin(</t>
    </r>
    <r>
      <rPr>
        <i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>) * WURZEL(1 - e^2)</t>
    </r>
  </si>
  <si>
    <t>Entfernung r</t>
  </si>
  <si>
    <t>WURZEL(E38^2+E40^2)</t>
  </si>
  <si>
    <t>WURZEL(x^2+ y^2)</t>
  </si>
  <si>
    <t>v=arctan2( y, x )</t>
  </si>
  <si>
    <t>ARCTAN2(E40;E38)*180/PI()</t>
  </si>
  <si>
    <t>Quadrant beachten!</t>
  </si>
  <si>
    <t>WENN(ARCTAN2(E38;E40)*180/PI()&lt;0;360+ARCTAN2(E38;E40)*180/PI();ARCTAN2(E38;E40)*180/PI())</t>
  </si>
  <si>
    <r>
      <t xml:space="preserve">WENN </t>
    </r>
    <r>
      <rPr>
        <i/>
        <sz val="11"/>
        <color theme="1"/>
        <rFont val="Calibri"/>
        <family val="2"/>
        <scheme val="minor"/>
      </rPr>
      <t>v</t>
    </r>
    <r>
      <rPr>
        <sz val="11"/>
        <color theme="1"/>
        <rFont val="Calibri"/>
        <family val="2"/>
        <scheme val="minor"/>
      </rPr>
      <t xml:space="preserve">&lt;0; 360 - </t>
    </r>
    <r>
      <rPr>
        <i/>
        <sz val="11"/>
        <color theme="1"/>
        <rFont val="Calibri"/>
        <family val="2"/>
        <scheme val="minor"/>
      </rPr>
      <t>v</t>
    </r>
  </si>
  <si>
    <r>
      <t xml:space="preserve">Länge </t>
    </r>
    <r>
      <rPr>
        <sz val="11"/>
        <color theme="1"/>
        <rFont val="Symbol"/>
        <family val="1"/>
        <charset val="2"/>
      </rPr>
      <t>l</t>
    </r>
  </si>
  <si>
    <t>E20+E50</t>
  </si>
  <si>
    <r>
      <rPr>
        <sz val="11"/>
        <color theme="1"/>
        <rFont val="Symbol"/>
        <family val="1"/>
        <charset val="2"/>
      </rPr>
      <t>v</t>
    </r>
    <r>
      <rPr>
        <sz val="11"/>
        <color theme="1"/>
        <rFont val="Calibri"/>
        <family val="2"/>
        <scheme val="minor"/>
      </rPr>
      <t>+v</t>
    </r>
  </si>
  <si>
    <t>E52-GANZZAHL(E52/360)*360</t>
  </si>
  <si>
    <r>
      <rPr>
        <sz val="11"/>
        <color theme="1"/>
        <rFont val="Symbol"/>
        <family val="1"/>
        <charset val="2"/>
      </rPr>
      <t>l</t>
    </r>
    <r>
      <rPr>
        <sz val="11"/>
        <color theme="1"/>
        <rFont val="Calibri"/>
        <family val="2"/>
        <scheme val="minor"/>
      </rPr>
      <t>-GANZZAHL(</t>
    </r>
    <r>
      <rPr>
        <sz val="11"/>
        <color theme="1"/>
        <rFont val="Symbol"/>
        <family val="1"/>
        <charset val="2"/>
      </rPr>
      <t>l</t>
    </r>
    <r>
      <rPr>
        <sz val="11"/>
        <color theme="1"/>
        <rFont val="Calibri"/>
        <family val="2"/>
        <scheme val="minor"/>
      </rPr>
      <t>/360)*360</t>
    </r>
  </si>
  <si>
    <r>
      <t>x</t>
    </r>
    <r>
      <rPr>
        <vertAlign val="subscript"/>
        <sz val="11"/>
        <color theme="1"/>
        <rFont val="Calibri"/>
        <family val="2"/>
        <scheme val="minor"/>
      </rPr>
      <t>(Ekliptik)</t>
    </r>
    <r>
      <rPr>
        <sz val="11"/>
        <color theme="1"/>
        <rFont val="Calibri"/>
        <family val="2"/>
        <scheme val="minor"/>
      </rPr>
      <t>=</t>
    </r>
  </si>
  <si>
    <t>E44*COS(BOGENMASS(E53))</t>
  </si>
  <si>
    <r>
      <t>r*COS(</t>
    </r>
    <r>
      <rPr>
        <sz val="11"/>
        <color theme="1"/>
        <rFont val="Symbol"/>
        <family val="1"/>
        <charset val="2"/>
      </rPr>
      <t>l</t>
    </r>
    <r>
      <rPr>
        <sz val="11"/>
        <color theme="1"/>
        <rFont val="Calibri"/>
        <family val="2"/>
        <scheme val="minor"/>
      </rPr>
      <t>)</t>
    </r>
  </si>
  <si>
    <r>
      <t>y</t>
    </r>
    <r>
      <rPr>
        <vertAlign val="subscript"/>
        <sz val="11"/>
        <color theme="1"/>
        <rFont val="Calibri"/>
        <family val="2"/>
        <scheme val="minor"/>
      </rPr>
      <t>(Ekliptik)</t>
    </r>
    <r>
      <rPr>
        <sz val="11"/>
        <color theme="1"/>
        <rFont val="Calibri"/>
        <family val="2"/>
        <scheme val="minor"/>
      </rPr>
      <t>=</t>
    </r>
  </si>
  <si>
    <t>E44*SIN(BOGENMASS(E53))</t>
  </si>
  <si>
    <r>
      <t>r*SIN(</t>
    </r>
    <r>
      <rPr>
        <sz val="11"/>
        <color theme="1"/>
        <rFont val="Symbol"/>
        <family val="1"/>
        <charset val="2"/>
      </rPr>
      <t>l</t>
    </r>
    <r>
      <rPr>
        <sz val="11"/>
        <color theme="1"/>
        <rFont val="Calibri"/>
        <family val="2"/>
        <scheme val="minor"/>
      </rPr>
      <t>)</t>
    </r>
  </si>
  <si>
    <r>
      <t>z</t>
    </r>
    <r>
      <rPr>
        <vertAlign val="subscript"/>
        <sz val="11"/>
        <color theme="1"/>
        <rFont val="Calibri"/>
        <family val="2"/>
        <scheme val="minor"/>
      </rPr>
      <t>(Ekliptik)</t>
    </r>
    <r>
      <rPr>
        <sz val="11"/>
        <color theme="1"/>
        <rFont val="Calibri"/>
        <family val="2"/>
        <scheme val="minor"/>
      </rPr>
      <t>=</t>
    </r>
  </si>
  <si>
    <t>0: Sonne "läuft" scheinbar nahezu entlang die Ekliptik</t>
  </si>
  <si>
    <t>Umwandlung Ekliptikales System - Äquatoriales System</t>
  </si>
  <si>
    <r>
      <t xml:space="preserve">Schiefe der Ekliptik </t>
    </r>
    <r>
      <rPr>
        <sz val="11"/>
        <color theme="1"/>
        <rFont val="Symbol"/>
        <family val="1"/>
        <charset val="2"/>
      </rPr>
      <t>e</t>
    </r>
  </si>
  <si>
    <r>
      <t>x</t>
    </r>
    <r>
      <rPr>
        <vertAlign val="subscript"/>
        <sz val="11"/>
        <color theme="1"/>
        <rFont val="Calibri"/>
        <family val="2"/>
        <scheme val="minor"/>
      </rPr>
      <t>(Äquator)</t>
    </r>
    <r>
      <rPr>
        <sz val="11"/>
        <color theme="1"/>
        <rFont val="Calibri"/>
        <family val="2"/>
        <scheme val="minor"/>
      </rPr>
      <t>=</t>
    </r>
  </si>
  <si>
    <t>E56</t>
  </si>
  <si>
    <r>
      <t>x</t>
    </r>
    <r>
      <rPr>
        <vertAlign val="subscript"/>
        <sz val="11"/>
        <color theme="1"/>
        <rFont val="Calibri"/>
        <family val="2"/>
        <scheme val="minor"/>
      </rPr>
      <t xml:space="preserve">(Äquator) </t>
    </r>
    <r>
      <rPr>
        <sz val="11"/>
        <color theme="1"/>
        <rFont val="Calibri"/>
        <family val="2"/>
        <scheme val="minor"/>
      </rPr>
      <t>= x</t>
    </r>
    <r>
      <rPr>
        <vertAlign val="subscript"/>
        <sz val="11"/>
        <color theme="1"/>
        <rFont val="Calibri"/>
        <family val="2"/>
        <scheme val="minor"/>
      </rPr>
      <t>(Ekliptik)</t>
    </r>
  </si>
  <si>
    <r>
      <t>y</t>
    </r>
    <r>
      <rPr>
        <vertAlign val="subscript"/>
        <sz val="11"/>
        <color theme="1"/>
        <rFont val="Calibri"/>
        <family val="2"/>
        <scheme val="minor"/>
      </rPr>
      <t>(Äquator)</t>
    </r>
    <r>
      <rPr>
        <sz val="11"/>
        <color theme="1"/>
        <rFont val="Calibri"/>
        <family val="2"/>
        <scheme val="minor"/>
      </rPr>
      <t>=</t>
    </r>
  </si>
  <si>
    <t>E58*COS(BOGENMASS(E64))-E60*SIN(BOGENMASS(E64))</t>
  </si>
  <si>
    <r>
      <t>y</t>
    </r>
    <r>
      <rPr>
        <vertAlign val="subscript"/>
        <sz val="11"/>
        <color theme="1"/>
        <rFont val="Calibri"/>
        <family val="2"/>
        <scheme val="minor"/>
      </rPr>
      <t>(Ekliptik)</t>
    </r>
    <r>
      <rPr>
        <sz val="11"/>
        <color theme="1"/>
        <rFont val="Calibri"/>
        <family val="2"/>
        <scheme val="minor"/>
      </rPr>
      <t>*COS(</t>
    </r>
    <r>
      <rPr>
        <sz val="11"/>
        <color theme="1"/>
        <rFont val="Symbol"/>
        <family val="1"/>
        <charset val="2"/>
      </rPr>
      <t>e</t>
    </r>
    <r>
      <rPr>
        <sz val="11"/>
        <color theme="1"/>
        <rFont val="Calibri"/>
        <family val="2"/>
        <scheme val="minor"/>
      </rPr>
      <t>) - z</t>
    </r>
    <r>
      <rPr>
        <vertAlign val="subscript"/>
        <sz val="11"/>
        <color theme="1"/>
        <rFont val="Calibri"/>
        <family val="2"/>
        <scheme val="minor"/>
      </rPr>
      <t>(Ekliptik)</t>
    </r>
    <r>
      <rPr>
        <sz val="11"/>
        <color theme="1"/>
        <rFont val="Calibri"/>
        <family val="2"/>
        <scheme val="minor"/>
      </rPr>
      <t>*SIN(</t>
    </r>
    <r>
      <rPr>
        <sz val="11"/>
        <color theme="1"/>
        <rFont val="Symbol"/>
        <family val="1"/>
        <charset val="2"/>
      </rPr>
      <t>e</t>
    </r>
    <r>
      <rPr>
        <sz val="11"/>
        <color theme="1"/>
        <rFont val="Calibri"/>
        <family val="2"/>
        <scheme val="minor"/>
      </rPr>
      <t>)</t>
    </r>
  </si>
  <si>
    <r>
      <t>z</t>
    </r>
    <r>
      <rPr>
        <vertAlign val="subscript"/>
        <sz val="11"/>
        <color theme="1"/>
        <rFont val="Calibri"/>
        <family val="2"/>
        <scheme val="minor"/>
      </rPr>
      <t>(Äquator)</t>
    </r>
    <r>
      <rPr>
        <sz val="11"/>
        <color theme="1"/>
        <rFont val="Calibri"/>
        <family val="2"/>
        <scheme val="minor"/>
      </rPr>
      <t>=</t>
    </r>
  </si>
  <si>
    <t>E58*SIN(BOGENMASS(E64))+E60*COS(BOGENMASS(E64))</t>
  </si>
  <si>
    <r>
      <t>y</t>
    </r>
    <r>
      <rPr>
        <vertAlign val="subscript"/>
        <sz val="11"/>
        <color theme="1"/>
        <rFont val="Calibri"/>
        <family val="2"/>
        <scheme val="minor"/>
      </rPr>
      <t>(Ekliptik)</t>
    </r>
    <r>
      <rPr>
        <sz val="11"/>
        <color theme="1"/>
        <rFont val="Calibri"/>
        <family val="2"/>
        <scheme val="minor"/>
      </rPr>
      <t>*SIN€ + z</t>
    </r>
    <r>
      <rPr>
        <vertAlign val="subscript"/>
        <sz val="11"/>
        <color theme="1"/>
        <rFont val="Calibri"/>
        <family val="2"/>
        <scheme val="minor"/>
      </rPr>
      <t>(Ekliptik)</t>
    </r>
    <r>
      <rPr>
        <sz val="11"/>
        <color theme="1"/>
        <rFont val="Calibri"/>
        <family val="2"/>
        <scheme val="minor"/>
      </rPr>
      <t>*COS(</t>
    </r>
    <r>
      <rPr>
        <sz val="11"/>
        <color theme="1"/>
        <rFont val="Symbol"/>
        <family val="1"/>
        <charset val="2"/>
      </rPr>
      <t>e</t>
    </r>
    <r>
      <rPr>
        <sz val="11"/>
        <color theme="1"/>
        <rFont val="Calibri"/>
        <family val="2"/>
        <scheme val="minor"/>
      </rPr>
      <t>)</t>
    </r>
  </si>
  <si>
    <t>r = (Distanz Erde - Sonne)</t>
  </si>
  <si>
    <t>WURZEL(E66^2+E68^2+E70^2)</t>
  </si>
  <si>
    <t>WURZEL(x^2 + y^2 + z^2)</t>
  </si>
  <si>
    <t>ARCTAN2(E66;E68)*180/PI()</t>
  </si>
  <si>
    <t>ARCTAN2(x;y)*180/PI()</t>
  </si>
  <si>
    <t>WENN(E76&lt;0;360+E76;E76)</t>
  </si>
  <si>
    <t>WENN STUNDENWINKEL&lt;0,360+RA</t>
  </si>
  <si>
    <t>E77/15</t>
  </si>
  <si>
    <t>STUNDENWINKEL/15</t>
  </si>
  <si>
    <t>E78/24</t>
  </si>
  <si>
    <t>Zeitformat</t>
  </si>
  <si>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 xml:space="preserve"> Deklination</t>
    </r>
  </si>
  <si>
    <t>ARCSIN(E70/E74)*180/PI()</t>
  </si>
  <si>
    <t>ARCSIN(z/r)*180/PI()</t>
  </si>
  <si>
    <t>ARCTAN2(E70;WURZEL(E66^2+E68^2))*180/PI()</t>
  </si>
  <si>
    <t>ARCTAN2(z;WURZEL(x^2+y^2))*180/PI()</t>
  </si>
  <si>
    <t>WENN(E83&gt;E64;90-E83;E83)</t>
  </si>
  <si>
    <r>
      <t xml:space="preserve">WENN </t>
    </r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 xml:space="preserve"> &gt; </t>
    </r>
    <r>
      <rPr>
        <sz val="11"/>
        <color theme="1"/>
        <rFont val="Symbol"/>
        <family val="1"/>
        <charset val="2"/>
      </rPr>
      <t>e</t>
    </r>
    <r>
      <rPr>
        <sz val="11"/>
        <color theme="1"/>
        <rFont val="Calibri"/>
        <family val="2"/>
        <scheme val="minor"/>
      </rPr>
      <t xml:space="preserve">; 90 - </t>
    </r>
    <r>
      <rPr>
        <sz val="11"/>
        <color theme="1"/>
        <rFont val="Symbol"/>
        <family val="1"/>
        <charset val="2"/>
      </rPr>
      <t>d</t>
    </r>
  </si>
  <si>
    <t>Geographische Länge</t>
  </si>
  <si>
    <t>Geographische Breite</t>
  </si>
  <si>
    <t>Tabelle1!I6</t>
  </si>
  <si>
    <t>Zeitgleichung</t>
  </si>
  <si>
    <t>https://de.wikipedia.org/wiki/Zeitgleichung</t>
  </si>
  <si>
    <t>ZG*</t>
  </si>
  <si>
    <t>°</t>
  </si>
  <si>
    <t>ARCTAN((TAN(BOGENMASS(E31))-TAN(BOGENMASS(E53))*COS(BOGENMASS(E64)))/(1+TAN(BOGENMASS(E31))*TAN(BOGENMASS(E53))*COS(BOGENMASS(E64))))*180/PI()</t>
  </si>
  <si>
    <t>ARCTAN((TAN(BOGENMASS(HEL.LÄNGE))-TAN(BOGENMASS(EKL.LÄNGE))*COS(BOGENMASS(SCHIEFE EKL)))/(1+TAN(BOGENMASS(HEL.LÄNGE))*TAN(BOGENMASS(EKL.LÄNGE))*COS(BOGENMASS(SCHIEFE EKL))))*180/PI()</t>
  </si>
  <si>
    <t>ZG</t>
  </si>
  <si>
    <t>min</t>
  </si>
  <si>
    <t>E95*4</t>
  </si>
  <si>
    <t>Tageslänge, Durchgang, Aufgang und Untergang</t>
  </si>
  <si>
    <t>astronomisch</t>
  </si>
  <si>
    <t>ARCCOS((SIN(BOGENMASS(-0,833))-(SIN(BOGENMASS(E88))*SIN(BOGENMASS(E81))/(COS(BOGENMASS(E88))*COS(BOGENMASS(E81))))))*180/PI()</t>
  </si>
  <si>
    <t>E103/15</t>
  </si>
  <si>
    <t>Halber Tagbogen</t>
  </si>
  <si>
    <t>12*ARCCOS((SIN(BOGENMASS(-0,833))-(SIN(BOGENMASS(E88))*SIN(BOGENMASS(E81))/(COS(BOGENMASS(E88))*COS(BOGENMASS(E81))))))/PI()</t>
  </si>
  <si>
    <t>12*ARCCOS((SIN(BOGENMASS(-0,833))-(SIN(BOGENMASS(BREITE))*SIN(BOGENMASS(DEKL))/(COS(BOGENMASS(BREITE))*COS(BOGENMASS(DEKL))))))/PI()</t>
  </si>
  <si>
    <t>Tageslänge</t>
  </si>
  <si>
    <t>2*D105</t>
  </si>
  <si>
    <t>D107/24</t>
  </si>
  <si>
    <t>Mittag</t>
  </si>
  <si>
    <t>MOZ</t>
  </si>
  <si>
    <t>E97</t>
  </si>
  <si>
    <t>D112/60</t>
  </si>
  <si>
    <t>Differenz MEZ/MEZ - MOZ</t>
  </si>
  <si>
    <t>(15-E86)*4/60</t>
  </si>
  <si>
    <t>Mittag MEZ</t>
  </si>
  <si>
    <t>12+D115-D113</t>
  </si>
  <si>
    <t>D116/24</t>
  </si>
  <si>
    <t>SA</t>
  </si>
  <si>
    <t>MEZ</t>
  </si>
  <si>
    <t>D116-D105</t>
  </si>
  <si>
    <t>D120/24</t>
  </si>
  <si>
    <t>Azimut</t>
  </si>
  <si>
    <t>GRAD(ARCCOS((SIN(BOGENMASS(E81))/COS(BOGENMASS(E88)))))</t>
  </si>
  <si>
    <t>GRAD(ARCCOS((SIN(BOGENMASS(DEKL))/COS(BOGENMASS(BREITE)))))</t>
  </si>
  <si>
    <t>SU</t>
  </si>
  <si>
    <t>D116+D105</t>
  </si>
  <si>
    <t>D125/24</t>
  </si>
  <si>
    <t>360-GRAD(ARCCOS((SIN(BOGENMASS(E81))/COS(BOGENMASS(E88)))))</t>
  </si>
  <si>
    <t>360-GRAD(ARCCOS((SIN(BOGENMASS(DEKL))/COS(BOGENMASS(BREITE)))))</t>
  </si>
  <si>
    <t>Tabelle1!C3</t>
  </si>
  <si>
    <t>Geozentrische Position der Planeten</t>
  </si>
  <si>
    <t>Ekliptikale Position</t>
  </si>
  <si>
    <r>
      <t>x</t>
    </r>
    <r>
      <rPr>
        <vertAlign val="subscript"/>
        <sz val="11"/>
        <color theme="1"/>
        <rFont val="Calibri"/>
        <family val="2"/>
        <scheme val="minor"/>
      </rPr>
      <t xml:space="preserve">(Ekliptik S) </t>
    </r>
    <r>
      <rPr>
        <sz val="11"/>
        <color theme="1"/>
        <rFont val="Calibri"/>
        <family val="2"/>
        <scheme val="minor"/>
      </rPr>
      <t>=</t>
    </r>
  </si>
  <si>
    <r>
      <t>Y</t>
    </r>
    <r>
      <rPr>
        <vertAlign val="subscript"/>
        <sz val="11"/>
        <color theme="1"/>
        <rFont val="Calibri"/>
        <family val="2"/>
        <scheme val="minor"/>
      </rPr>
      <t xml:space="preserve">(Ekliptik S) </t>
    </r>
    <r>
      <rPr>
        <sz val="11"/>
        <color theme="1"/>
        <rFont val="Calibri"/>
        <family val="2"/>
        <scheme val="minor"/>
      </rPr>
      <t>=</t>
    </r>
  </si>
  <si>
    <r>
      <t>Z</t>
    </r>
    <r>
      <rPr>
        <vertAlign val="subscript"/>
        <sz val="11"/>
        <color theme="1"/>
        <rFont val="Calibri"/>
        <family val="2"/>
        <scheme val="minor"/>
      </rPr>
      <t xml:space="preserve">(Ekliptik S) </t>
    </r>
    <r>
      <rPr>
        <sz val="11"/>
        <color theme="1"/>
        <rFont val="Calibri"/>
        <family val="2"/>
        <scheme val="minor"/>
      </rPr>
      <t>=</t>
    </r>
  </si>
  <si>
    <t>Addition Koordinaten Sonne + Planet</t>
  </si>
  <si>
    <r>
      <t>x</t>
    </r>
    <r>
      <rPr>
        <vertAlign val="subscript"/>
        <sz val="11"/>
        <color theme="1"/>
        <rFont val="Calibri"/>
        <family val="2"/>
        <scheme val="minor"/>
      </rPr>
      <t xml:space="preserve">(Ekliptik S+P) </t>
    </r>
    <r>
      <rPr>
        <sz val="11"/>
        <color theme="1"/>
        <rFont val="Calibri"/>
        <family val="2"/>
        <scheme val="minor"/>
      </rPr>
      <t>=</t>
    </r>
  </si>
  <si>
    <r>
      <t>x</t>
    </r>
    <r>
      <rPr>
        <vertAlign val="subscript"/>
        <sz val="11"/>
        <color theme="1"/>
        <rFont val="Calibri"/>
        <family val="2"/>
        <scheme val="minor"/>
      </rPr>
      <t>(Ekliptik S)</t>
    </r>
    <r>
      <rPr>
        <sz val="11"/>
        <color theme="1"/>
        <rFont val="Calibri"/>
        <family val="2"/>
        <scheme val="minor"/>
      </rPr>
      <t xml:space="preserve"> + x</t>
    </r>
    <r>
      <rPr>
        <vertAlign val="subscript"/>
        <sz val="11"/>
        <color theme="1"/>
        <rFont val="Calibri"/>
        <family val="2"/>
        <scheme val="minor"/>
      </rPr>
      <t xml:space="preserve">(Ekliptik P) </t>
    </r>
  </si>
  <si>
    <r>
      <t>Y</t>
    </r>
    <r>
      <rPr>
        <vertAlign val="subscript"/>
        <sz val="11"/>
        <color theme="1"/>
        <rFont val="Calibri"/>
        <family val="2"/>
        <scheme val="minor"/>
      </rPr>
      <t xml:space="preserve">(Ekliptik S+P) </t>
    </r>
    <r>
      <rPr>
        <sz val="11"/>
        <color theme="1"/>
        <rFont val="Calibri"/>
        <family val="2"/>
        <scheme val="minor"/>
      </rPr>
      <t>=</t>
    </r>
  </si>
  <si>
    <r>
      <t>Y</t>
    </r>
    <r>
      <rPr>
        <vertAlign val="subscript"/>
        <sz val="11"/>
        <color theme="1"/>
        <rFont val="Calibri"/>
        <family val="2"/>
        <scheme val="minor"/>
      </rPr>
      <t>(Ekliptik S)</t>
    </r>
    <r>
      <rPr>
        <sz val="11"/>
        <color theme="1"/>
        <rFont val="Calibri"/>
        <family val="2"/>
        <scheme val="minor"/>
      </rPr>
      <t xml:space="preserve"> + Y</t>
    </r>
    <r>
      <rPr>
        <vertAlign val="subscript"/>
        <sz val="11"/>
        <color theme="1"/>
        <rFont val="Calibri"/>
        <family val="2"/>
        <scheme val="minor"/>
      </rPr>
      <t xml:space="preserve">(Ekliptik P) </t>
    </r>
  </si>
  <si>
    <r>
      <t>Z</t>
    </r>
    <r>
      <rPr>
        <vertAlign val="subscript"/>
        <sz val="11"/>
        <color theme="1"/>
        <rFont val="Calibri"/>
        <family val="2"/>
        <scheme val="minor"/>
      </rPr>
      <t xml:space="preserve">(Ekliptik S*P) </t>
    </r>
    <r>
      <rPr>
        <sz val="11"/>
        <color theme="1"/>
        <rFont val="Calibri"/>
        <family val="2"/>
        <scheme val="minor"/>
      </rPr>
      <t>=</t>
    </r>
  </si>
  <si>
    <r>
      <t>Z</t>
    </r>
    <r>
      <rPr>
        <vertAlign val="subscript"/>
        <sz val="11"/>
        <color theme="1"/>
        <rFont val="Calibri"/>
        <family val="2"/>
        <scheme val="minor"/>
      </rPr>
      <t>(Ekliptik S)</t>
    </r>
    <r>
      <rPr>
        <sz val="11"/>
        <color theme="1"/>
        <rFont val="Calibri"/>
        <family val="2"/>
        <scheme val="minor"/>
      </rPr>
      <t xml:space="preserve"> + Z</t>
    </r>
    <r>
      <rPr>
        <vertAlign val="subscript"/>
        <sz val="11"/>
        <color theme="1"/>
        <rFont val="Calibri"/>
        <family val="2"/>
        <scheme val="minor"/>
      </rPr>
      <t xml:space="preserve">(Ekliptik P) </t>
    </r>
  </si>
  <si>
    <r>
      <t xml:space="preserve">Länge </t>
    </r>
    <r>
      <rPr>
        <sz val="11"/>
        <color theme="1"/>
        <rFont val="Symbol"/>
        <family val="1"/>
        <charset val="2"/>
      </rPr>
      <t>l</t>
    </r>
    <r>
      <rPr>
        <vertAlign val="subscript"/>
        <sz val="11"/>
        <color theme="1"/>
        <rFont val="Calibri"/>
        <family val="2"/>
        <scheme val="minor"/>
      </rPr>
      <t>(Ekliptik)</t>
    </r>
  </si>
  <si>
    <r>
      <t xml:space="preserve">WENN </t>
    </r>
    <r>
      <rPr>
        <sz val="11"/>
        <color theme="1"/>
        <rFont val="Symbol"/>
        <family val="1"/>
        <charset val="2"/>
      </rPr>
      <t>l</t>
    </r>
    <r>
      <rPr>
        <sz val="11"/>
        <color theme="1"/>
        <rFont val="Calibri"/>
        <family val="2"/>
        <scheme val="minor"/>
      </rPr>
      <t xml:space="preserve">&lt;0; 360 - </t>
    </r>
    <r>
      <rPr>
        <sz val="11"/>
        <color theme="1"/>
        <rFont val="Symbol"/>
        <family val="1"/>
        <charset val="2"/>
      </rPr>
      <t>l</t>
    </r>
    <r>
      <rPr>
        <sz val="11"/>
        <color theme="1"/>
        <rFont val="Calibri"/>
        <family val="2"/>
        <scheme val="minor"/>
      </rPr>
      <t>)</t>
    </r>
  </si>
  <si>
    <r>
      <t xml:space="preserve">Breite </t>
    </r>
    <r>
      <rPr>
        <sz val="11"/>
        <color theme="1"/>
        <rFont val="Symbol"/>
        <family val="1"/>
        <charset val="2"/>
      </rPr>
      <t>b</t>
    </r>
    <r>
      <rPr>
        <vertAlign val="subscript"/>
        <sz val="11"/>
        <color theme="1"/>
        <rFont val="Calibri"/>
        <family val="2"/>
        <scheme val="minor"/>
      </rPr>
      <t>(Ekliptik)</t>
    </r>
  </si>
  <si>
    <r>
      <t xml:space="preserve">WENN </t>
    </r>
    <r>
      <rPr>
        <sz val="11"/>
        <color theme="1"/>
        <rFont val="Symbol"/>
        <family val="1"/>
        <charset val="2"/>
      </rPr>
      <t>b</t>
    </r>
    <r>
      <rPr>
        <sz val="11"/>
        <color theme="1"/>
        <rFont val="Calibri"/>
        <family val="2"/>
        <scheme val="minor"/>
      </rPr>
      <t>&gt;</t>
    </r>
    <r>
      <rPr>
        <i/>
        <sz val="11"/>
        <color theme="1"/>
        <rFont val="Calibri"/>
        <family val="2"/>
        <scheme val="minor"/>
      </rPr>
      <t>i</t>
    </r>
    <r>
      <rPr>
        <sz val="11"/>
        <color theme="1"/>
        <rFont val="Calibri"/>
        <family val="2"/>
        <scheme val="minor"/>
      </rPr>
      <t xml:space="preserve">; 90 - </t>
    </r>
    <r>
      <rPr>
        <sz val="11"/>
        <color theme="1"/>
        <rFont val="Symbol"/>
        <family val="1"/>
        <charset val="2"/>
      </rPr>
      <t>b</t>
    </r>
    <r>
      <rPr>
        <sz val="11"/>
        <color theme="1"/>
        <rFont val="Calibri"/>
        <family val="2"/>
        <scheme val="minor"/>
      </rPr>
      <t>)</t>
    </r>
  </si>
  <si>
    <t>Drehen des Systems</t>
  </si>
  <si>
    <r>
      <rPr>
        <sz val="11"/>
        <color theme="1"/>
        <rFont val="Symbol"/>
        <family val="1"/>
        <charset val="2"/>
      </rPr>
      <t>e</t>
    </r>
    <r>
      <rPr>
        <sz val="11"/>
        <color theme="1"/>
        <rFont val="Calibri"/>
        <family val="2"/>
        <scheme val="minor"/>
      </rPr>
      <t xml:space="preserve"> Schiefe der Ekliptik</t>
    </r>
  </si>
  <si>
    <r>
      <t>x</t>
    </r>
    <r>
      <rPr>
        <vertAlign val="subscript"/>
        <sz val="11"/>
        <color theme="1"/>
        <rFont val="Calibri"/>
        <family val="2"/>
        <scheme val="minor"/>
      </rPr>
      <t xml:space="preserve">(Äquator P) </t>
    </r>
    <r>
      <rPr>
        <sz val="11"/>
        <color theme="1"/>
        <rFont val="Calibri"/>
        <family val="2"/>
        <scheme val="minor"/>
      </rPr>
      <t>=</t>
    </r>
  </si>
  <si>
    <r>
      <t>x</t>
    </r>
    <r>
      <rPr>
        <vertAlign val="subscript"/>
        <sz val="11"/>
        <color theme="1"/>
        <rFont val="Calibri"/>
        <family val="2"/>
        <scheme val="minor"/>
      </rPr>
      <t>(Äquator P)</t>
    </r>
    <r>
      <rPr>
        <sz val="11"/>
        <color theme="1"/>
        <rFont val="Calibri"/>
        <family val="2"/>
        <scheme val="minor"/>
      </rPr>
      <t xml:space="preserve"> = x</t>
    </r>
    <r>
      <rPr>
        <vertAlign val="subscript"/>
        <sz val="11"/>
        <color theme="1"/>
        <rFont val="Calibri"/>
        <family val="2"/>
        <scheme val="minor"/>
      </rPr>
      <t xml:space="preserve">(Ekliptik S+P) </t>
    </r>
  </si>
  <si>
    <r>
      <t>y</t>
    </r>
    <r>
      <rPr>
        <vertAlign val="subscript"/>
        <sz val="11"/>
        <color theme="1"/>
        <rFont val="Calibri"/>
        <family val="2"/>
        <scheme val="minor"/>
      </rPr>
      <t xml:space="preserve">(Äquator P) </t>
    </r>
    <r>
      <rPr>
        <sz val="11"/>
        <color theme="1"/>
        <rFont val="Calibri"/>
        <family val="2"/>
        <scheme val="minor"/>
      </rPr>
      <t>=</t>
    </r>
  </si>
  <si>
    <r>
      <t>y</t>
    </r>
    <r>
      <rPr>
        <vertAlign val="subscript"/>
        <sz val="11"/>
        <color theme="1"/>
        <rFont val="Calibri"/>
        <family val="2"/>
        <scheme val="minor"/>
      </rPr>
      <t>(Ekliptik SP)</t>
    </r>
    <r>
      <rPr>
        <sz val="11"/>
        <color theme="1"/>
        <rFont val="Calibri"/>
        <family val="2"/>
        <scheme val="minor"/>
      </rPr>
      <t>*COS(</t>
    </r>
    <r>
      <rPr>
        <sz val="11"/>
        <color theme="1"/>
        <rFont val="Symbol"/>
        <family val="1"/>
        <charset val="2"/>
      </rPr>
      <t>e</t>
    </r>
    <r>
      <rPr>
        <sz val="11"/>
        <color theme="1"/>
        <rFont val="Calibri"/>
        <family val="2"/>
        <scheme val="minor"/>
      </rPr>
      <t>) - z</t>
    </r>
    <r>
      <rPr>
        <vertAlign val="subscript"/>
        <sz val="11"/>
        <color theme="1"/>
        <rFont val="Calibri"/>
        <family val="2"/>
        <scheme val="minor"/>
      </rPr>
      <t>(Ekliptik SP)</t>
    </r>
    <r>
      <rPr>
        <sz val="11"/>
        <color theme="1"/>
        <rFont val="Calibri"/>
        <family val="2"/>
        <scheme val="minor"/>
      </rPr>
      <t>*SIN(</t>
    </r>
    <r>
      <rPr>
        <sz val="11"/>
        <color theme="1"/>
        <rFont val="Symbol"/>
        <family val="1"/>
        <charset val="2"/>
      </rPr>
      <t>e</t>
    </r>
    <r>
      <rPr>
        <sz val="11"/>
        <color theme="1"/>
        <rFont val="Calibri"/>
        <family val="2"/>
        <scheme val="minor"/>
      </rPr>
      <t>)</t>
    </r>
  </si>
  <si>
    <r>
      <t>z</t>
    </r>
    <r>
      <rPr>
        <vertAlign val="subscript"/>
        <sz val="11"/>
        <color theme="1"/>
        <rFont val="Calibri"/>
        <family val="2"/>
        <scheme val="minor"/>
      </rPr>
      <t xml:space="preserve">(Äquator P) </t>
    </r>
    <r>
      <rPr>
        <sz val="11"/>
        <color theme="1"/>
        <rFont val="Calibri"/>
        <family val="2"/>
        <scheme val="minor"/>
      </rPr>
      <t>=</t>
    </r>
  </si>
  <si>
    <r>
      <t>y</t>
    </r>
    <r>
      <rPr>
        <vertAlign val="subscript"/>
        <sz val="11"/>
        <color theme="1"/>
        <rFont val="Calibri"/>
        <family val="2"/>
        <scheme val="minor"/>
      </rPr>
      <t>(Ekliptik SP)</t>
    </r>
    <r>
      <rPr>
        <sz val="11"/>
        <color theme="1"/>
        <rFont val="Calibri"/>
        <family val="2"/>
        <scheme val="minor"/>
      </rPr>
      <t>*SIN(</t>
    </r>
    <r>
      <rPr>
        <sz val="11"/>
        <color theme="1"/>
        <rFont val="Symbol"/>
        <family val="1"/>
        <charset val="2"/>
      </rPr>
      <t>e</t>
    </r>
    <r>
      <rPr>
        <sz val="11"/>
        <color theme="1"/>
        <rFont val="Calibri"/>
        <family val="2"/>
        <scheme val="minor"/>
      </rPr>
      <t>) - z</t>
    </r>
    <r>
      <rPr>
        <vertAlign val="subscript"/>
        <sz val="11"/>
        <color theme="1"/>
        <rFont val="Calibri"/>
        <family val="2"/>
        <scheme val="minor"/>
      </rPr>
      <t>(Ekliptik SP)</t>
    </r>
    <r>
      <rPr>
        <sz val="11"/>
        <color theme="1"/>
        <rFont val="Calibri"/>
        <family val="2"/>
        <scheme val="minor"/>
      </rPr>
      <t>*COS(</t>
    </r>
    <r>
      <rPr>
        <sz val="11"/>
        <color theme="1"/>
        <rFont val="Symbol"/>
        <family val="1"/>
        <charset val="2"/>
      </rPr>
      <t>e</t>
    </r>
    <r>
      <rPr>
        <sz val="11"/>
        <color theme="1"/>
        <rFont val="Calibri"/>
        <family val="2"/>
        <scheme val="minor"/>
      </rPr>
      <t>)</t>
    </r>
  </si>
  <si>
    <t>Geozentrische Koordinaten</t>
  </si>
  <si>
    <t>r (Erde-Planet)</t>
  </si>
  <si>
    <t>Rektaszension</t>
  </si>
  <si>
    <t>WENN RA&lt;0;360-RA</t>
  </si>
  <si>
    <r>
      <t xml:space="preserve">Winkel </t>
    </r>
    <r>
      <rPr>
        <sz val="11"/>
        <color theme="1"/>
        <rFont val="Calibri"/>
        <family val="2"/>
      </rPr>
      <t>→</t>
    </r>
    <r>
      <rPr>
        <sz val="11"/>
        <color theme="1"/>
        <rFont val="Calibri"/>
        <family val="2"/>
        <scheme val="minor"/>
      </rPr>
      <t xml:space="preserve"> Zeit</t>
    </r>
  </si>
  <si>
    <t>Übername aus Tabelle 5 'Sonne'</t>
  </si>
  <si>
    <t>Radius Diagramm</t>
  </si>
  <si>
    <t>Julianisches Datum / Sternzeit</t>
  </si>
  <si>
    <t>Höhe</t>
  </si>
  <si>
    <t>geozentrisch!</t>
  </si>
  <si>
    <t>Aufgang / Azimut (°)</t>
  </si>
  <si>
    <t>Untergang / Azimut (°)</t>
  </si>
  <si>
    <t>Rektaszension/Deklination</t>
  </si>
  <si>
    <t>COS(BOGENMASS(Stundenwinkel))*SIN(BOGENMASS(Geogr.Länge))-TAN(BOGENMASS(Deklination))*COS(BOGENMASS(Geograph. Länge))</t>
  </si>
  <si>
    <t>ARCTAN(SIN(BOGENMASS(Stundenwinkel))/(COS(BOGENMASS(Stundenwinkel))*SIN(BOGENMASS(Geogr. Breite))-TAN(BOGENMASS(Deklination))*COS(BOGENMASS(Geograph. Breite))))*180/PI()</t>
  </si>
  <si>
    <t>Länge/Breite (Ekliptik)</t>
  </si>
  <si>
    <t>Meridiandurchgang (Süden)</t>
  </si>
  <si>
    <t>Azimut (°)</t>
  </si>
  <si>
    <t>Höhe (°)</t>
  </si>
  <si>
    <t>Phase (%)</t>
  </si>
  <si>
    <t>Azimut und Höhe Sonne</t>
  </si>
  <si>
    <t>Azimut und Höhe Mond</t>
  </si>
  <si>
    <t>Radius 0,71 = Horizont</t>
  </si>
  <si>
    <t>Eingabe Datum / Zeit</t>
  </si>
  <si>
    <t>Drehbare Sternkarte</t>
  </si>
  <si>
    <t>Ingo Mennerich, Februar 2019</t>
  </si>
  <si>
    <t>Links:</t>
  </si>
  <si>
    <t>Sternzeit ist die Rektaszension des Himmelsausschnitts der durch dem Meridian geht.</t>
  </si>
  <si>
    <t xml:space="preserve">Rektaszension: Stundenwinkel zum Frühlingspunkt </t>
  </si>
  <si>
    <t>Frühlingsspunkt: Position der Sonne zur Frühjahrs-Tagundnachtgleiche</t>
  </si>
  <si>
    <t>Rektaszension des Frühlingspunktes: 00 h oomin</t>
  </si>
  <si>
    <t xml:space="preserve">Beispiel: Der Stern Sirius hat  die Rektaszension 6:45. Er geht 6 h 45 min nach </t>
  </si>
  <si>
    <t>Meridian: "Hälfte des Tages" = Süden</t>
  </si>
  <si>
    <t>dem Frühlingspunkt durch den Meridian. Die Sternzeit ist dann 6 h 45 min.</t>
  </si>
  <si>
    <t>Rechts:</t>
  </si>
  <si>
    <t>Datum / Uhrzeit</t>
  </si>
  <si>
    <t xml:space="preserve">Scheibenrand: </t>
  </si>
  <si>
    <t>Rektaszension = Sternzeit</t>
  </si>
  <si>
    <t>Monatseinteilung: Position der Sonne auf der Ekliptik</t>
  </si>
  <si>
    <t>Ekliptik (rot): Scheinbare Sonnenbahn im Laufe des Jahres ("Tierkreis")</t>
  </si>
  <si>
    <t>Sternkarte des nördlichen Himmels</t>
  </si>
  <si>
    <t>Sichtbarkeitsfenster mit Meridian (blau)</t>
  </si>
  <si>
    <t xml:space="preserve">Das Fenster ist für die Breite 50° Nord </t>
  </si>
  <si>
    <t>Kartenmitte = Himmelsnordpol (Nähe Polarstern)</t>
  </si>
  <si>
    <t xml:space="preserve"> Uhrzeit (MEZ!)</t>
  </si>
  <si>
    <t>Datum</t>
  </si>
  <si>
    <t>Länge: In Dezimalwerten</t>
  </si>
  <si>
    <t>Breite: In Dezimalwerten</t>
  </si>
  <si>
    <r>
      <rPr>
        <b/>
        <sz val="11"/>
        <color theme="1"/>
        <rFont val="Calibri"/>
        <family val="2"/>
        <scheme val="minor"/>
      </rPr>
      <t>Eingabefelder</t>
    </r>
    <r>
      <rPr>
        <sz val="11"/>
        <color theme="1"/>
        <rFont val="Calibri"/>
        <family val="2"/>
        <scheme val="minor"/>
      </rPr>
      <t xml:space="preserve"> (gelb)</t>
    </r>
  </si>
  <si>
    <r>
      <rPr>
        <b/>
        <sz val="11"/>
        <color theme="1"/>
        <rFont val="Calibri"/>
        <family val="2"/>
        <scheme val="minor"/>
      </rPr>
      <t>Uhrzeit</t>
    </r>
    <r>
      <rPr>
        <sz val="11"/>
        <color theme="1"/>
        <rFont val="Calibri"/>
        <family val="2"/>
        <scheme val="minor"/>
      </rPr>
      <t>: 2 x 0 - 12 h</t>
    </r>
  </si>
  <si>
    <r>
      <rPr>
        <b/>
        <sz val="11"/>
        <color theme="1"/>
        <rFont val="Calibri"/>
        <family val="2"/>
        <scheme val="minor"/>
      </rPr>
      <t>Sternzeit</t>
    </r>
    <r>
      <rPr>
        <sz val="11"/>
        <color theme="1"/>
        <rFont val="Calibri"/>
        <family val="2"/>
        <scheme val="minor"/>
      </rPr>
      <t>: 0 - 24 h</t>
    </r>
  </si>
  <si>
    <r>
      <rPr>
        <b/>
        <sz val="11"/>
        <color theme="1"/>
        <rFont val="Calibri"/>
        <family val="2"/>
        <scheme val="minor"/>
      </rPr>
      <t xml:space="preserve">Azimut </t>
    </r>
    <r>
      <rPr>
        <sz val="11"/>
        <color theme="1"/>
        <rFont val="Calibri"/>
        <family val="2"/>
        <scheme val="minor"/>
      </rPr>
      <t>(Kompassrichtung 0 - 360°) und Höhe der Sonne und des Mondes</t>
    </r>
  </si>
  <si>
    <t>Himmelsäquator (schwarz): Vom Erdmittelpunkt ins All projizierter Äquator</t>
  </si>
  <si>
    <t>Mond bzw. Sonne innerhalb des Kreises = Unter dem Horizont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</si>
</sst>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64" formatCode="dd/mm/yyyy\ hh:mm:ss"/>
    <numFmt numFmtId="165" formatCode="0.00000000000"/>
    <numFmt numFmtId="166" formatCode="0.00000000"/>
    <numFmt numFmtId="167" formatCode="h:mm;@"/>
    <numFmt numFmtId="168" formatCode="0.0"/>
    <numFmt numFmtId="169" formatCode="0.00000"/>
    <numFmt numFmtId="170" formatCode="0.000000"/>
    <numFmt numFmtId="171" formatCode="0.000"/>
    <numFmt numFmtId="172" formatCode="0.0000"/>
    <numFmt numFmtId="173" formatCode="[$-F400]h:mm:ss\ AM/PM"/>
    <numFmt numFmtId="174" formatCode="\-hh:mm:ss"/>
    <numFmt numFmtId="175" formatCode="0.0000000"/>
    <numFmt numFmtId="176" formatCode="0.000000000"/>
    <numFmt numFmtId="177" formatCode="h:mm:ss;@"/>
  </numFmts>
  <fonts count="4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1"/>
      <name val="Symbol"/>
      <family val="1"/>
      <charset val="2"/>
    </font>
    <font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Arial Unicode MS"/>
      <family val="2"/>
    </font>
    <font>
      <sz val="11"/>
      <color theme="1"/>
      <name val="Calibri"/>
      <family val="2"/>
    </font>
    <font>
      <i/>
      <sz val="11"/>
      <color theme="1"/>
      <name val="Calibri"/>
      <family val="2"/>
    </font>
    <font>
      <sz val="11"/>
      <color rgb="FFFF0000"/>
      <name val="Calibri"/>
      <family val="2"/>
    </font>
    <font>
      <sz val="12"/>
      <color theme="1"/>
      <name val="Times New Roman"/>
      <family val="1"/>
    </font>
    <font>
      <sz val="10"/>
      <color rgb="FFFF0000"/>
      <name val="Courier New"/>
      <family val="3"/>
    </font>
    <font>
      <b/>
      <i/>
      <sz val="11"/>
      <color theme="1"/>
      <name val="Calibri"/>
      <family val="2"/>
      <scheme val="minor"/>
    </font>
    <font>
      <sz val="10"/>
      <color rgb="FF0070C0"/>
      <name val="Courier New"/>
      <family val="3"/>
    </font>
    <font>
      <sz val="11"/>
      <color rgb="FF7030A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1"/>
      <color rgb="FF002060"/>
      <name val="Calibri"/>
      <family val="2"/>
      <scheme val="minor"/>
    </font>
    <font>
      <sz val="11"/>
      <color theme="1"/>
      <name val="Arial"/>
      <family val="2"/>
    </font>
    <font>
      <i/>
      <sz val="10"/>
      <color theme="1"/>
      <name val="Arial Unicode MS"/>
      <family val="2"/>
    </font>
    <font>
      <sz val="11"/>
      <name val="Symbol"/>
      <family val="1"/>
      <charset val="2"/>
    </font>
    <font>
      <b/>
      <sz val="11"/>
      <color theme="1"/>
      <name val="Symbol"/>
      <family val="1"/>
      <charset val="2"/>
    </font>
    <font>
      <b/>
      <sz val="18"/>
      <color theme="1"/>
      <name val="Times New Roman"/>
      <family val="1"/>
    </font>
    <font>
      <b/>
      <i/>
      <sz val="11"/>
      <color theme="1"/>
      <name val="Symbol"/>
      <family val="1"/>
      <charset val="2"/>
    </font>
    <font>
      <sz val="10"/>
      <color theme="1"/>
      <name val="Courier New"/>
      <family val="3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i/>
      <sz val="11"/>
      <color theme="1"/>
      <name val="Symbol"/>
      <family val="1"/>
      <charset val="2"/>
    </font>
    <font>
      <sz val="10"/>
      <color rgb="FF00B050"/>
      <name val="Courier New"/>
      <family val="3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20"/>
      <name val="Calibri"/>
      <family val="2"/>
      <scheme val="minor"/>
    </font>
    <font>
      <sz val="11"/>
      <color theme="0" tint="-0.249977111117893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293">
    <xf numFmtId="0" fontId="0" fillId="0" borderId="0" xfId="0"/>
    <xf numFmtId="164" fontId="0" fillId="0" borderId="0" xfId="0" applyNumberFormat="1"/>
    <xf numFmtId="0" fontId="0" fillId="0" borderId="0" xfId="0" applyAlignment="1">
      <alignment horizontal="right" vertical="center"/>
    </xf>
    <xf numFmtId="0" fontId="1" fillId="0" borderId="0" xfId="0" applyFont="1"/>
    <xf numFmtId="0" fontId="2" fillId="0" borderId="0" xfId="0" applyFont="1" applyAlignment="1"/>
    <xf numFmtId="0" fontId="0" fillId="0" borderId="0" xfId="0" applyAlignment="1">
      <alignment textRotation="90"/>
    </xf>
    <xf numFmtId="0" fontId="3" fillId="0" borderId="0" xfId="0" applyFont="1" applyAlignment="1">
      <alignment textRotation="90"/>
    </xf>
    <xf numFmtId="2" fontId="0" fillId="0" borderId="0" xfId="0" applyNumberFormat="1" applyFill="1"/>
    <xf numFmtId="165" fontId="0" fillId="0" borderId="0" xfId="0" applyNumberFormat="1"/>
    <xf numFmtId="2" fontId="0" fillId="0" borderId="0" xfId="0" applyNumberFormat="1"/>
    <xf numFmtId="166" fontId="0" fillId="0" borderId="0" xfId="0" applyNumberFormat="1"/>
    <xf numFmtId="167" fontId="1" fillId="0" borderId="0" xfId="0" applyNumberFormat="1" applyFont="1"/>
    <xf numFmtId="167" fontId="0" fillId="0" borderId="0" xfId="0" applyNumberFormat="1"/>
    <xf numFmtId="168" fontId="0" fillId="0" borderId="0" xfId="0" applyNumberFormat="1"/>
    <xf numFmtId="169" fontId="0" fillId="0" borderId="0" xfId="0" applyNumberFormat="1"/>
    <xf numFmtId="0" fontId="0" fillId="2" borderId="0" xfId="0" applyFill="1"/>
    <xf numFmtId="21" fontId="0" fillId="0" borderId="0" xfId="0" applyNumberFormat="1"/>
    <xf numFmtId="21" fontId="5" fillId="0" borderId="0" xfId="0" applyNumberFormat="1" applyFont="1"/>
    <xf numFmtId="0" fontId="0" fillId="3" borderId="0" xfId="0" applyFill="1"/>
    <xf numFmtId="0" fontId="0" fillId="0" borderId="0" xfId="0" applyFill="1"/>
    <xf numFmtId="0" fontId="6" fillId="0" borderId="0" xfId="0" applyFont="1"/>
    <xf numFmtId="170" fontId="0" fillId="0" borderId="0" xfId="0" applyNumberFormat="1"/>
    <xf numFmtId="0" fontId="7" fillId="0" borderId="0" xfId="0" applyFont="1"/>
    <xf numFmtId="2" fontId="9" fillId="4" borderId="0" xfId="0" applyNumberFormat="1" applyFont="1" applyFill="1"/>
    <xf numFmtId="171" fontId="5" fillId="0" borderId="0" xfId="0" applyNumberFormat="1" applyFont="1"/>
    <xf numFmtId="2" fontId="5" fillId="0" borderId="0" xfId="0" applyNumberFormat="1" applyFont="1"/>
    <xf numFmtId="0" fontId="1" fillId="0" borderId="0" xfId="0" applyFont="1" applyAlignment="1">
      <alignment horizontal="right" vertical="center"/>
    </xf>
    <xf numFmtId="0" fontId="4" fillId="0" borderId="0" xfId="0" applyFont="1"/>
    <xf numFmtId="0" fontId="5" fillId="0" borderId="0" xfId="0" applyFont="1"/>
    <xf numFmtId="0" fontId="9" fillId="0" borderId="0" xfId="0" applyFont="1" applyAlignment="1">
      <alignment horizontal="right"/>
    </xf>
    <xf numFmtId="2" fontId="9" fillId="0" borderId="0" xfId="0" applyNumberFormat="1" applyFont="1" applyFill="1"/>
    <xf numFmtId="0" fontId="11" fillId="0" borderId="0" xfId="0" applyFont="1"/>
    <xf numFmtId="0" fontId="11" fillId="0" borderId="0" xfId="0" applyFont="1" applyAlignment="1">
      <alignment vertical="center"/>
    </xf>
    <xf numFmtId="2" fontId="0" fillId="3" borderId="0" xfId="0" applyNumberFormat="1" applyFill="1"/>
    <xf numFmtId="0" fontId="11" fillId="0" borderId="0" xfId="0" applyFont="1" applyFill="1" applyAlignment="1">
      <alignment vertical="center"/>
    </xf>
    <xf numFmtId="22" fontId="0" fillId="0" borderId="0" xfId="0" applyNumberFormat="1"/>
    <xf numFmtId="0" fontId="9" fillId="0" borderId="0" xfId="0" applyFont="1"/>
    <xf numFmtId="0" fontId="0" fillId="4" borderId="0" xfId="0" applyFill="1"/>
    <xf numFmtId="0" fontId="5" fillId="0" borderId="0" xfId="0" applyFont="1" applyFill="1"/>
    <xf numFmtId="2" fontId="5" fillId="0" borderId="0" xfId="0" applyNumberFormat="1" applyFont="1" applyFill="1"/>
    <xf numFmtId="172" fontId="0" fillId="0" borderId="0" xfId="0" applyNumberFormat="1"/>
    <xf numFmtId="1" fontId="6" fillId="0" borderId="0" xfId="0" applyNumberFormat="1" applyFont="1"/>
    <xf numFmtId="168" fontId="1" fillId="3" borderId="0" xfId="0" applyNumberFormat="1" applyFont="1" applyFill="1"/>
    <xf numFmtId="0" fontId="8" fillId="0" borderId="0" xfId="0" applyFont="1"/>
    <xf numFmtId="1" fontId="6" fillId="5" borderId="0" xfId="0" applyNumberFormat="1" applyFont="1" applyFill="1"/>
    <xf numFmtId="168" fontId="5" fillId="3" borderId="0" xfId="0" applyNumberFormat="1" applyFont="1" applyFill="1"/>
    <xf numFmtId="172" fontId="5" fillId="3" borderId="0" xfId="0" applyNumberFormat="1" applyFont="1" applyFill="1"/>
    <xf numFmtId="2" fontId="1" fillId="3" borderId="0" xfId="0" applyNumberFormat="1" applyFont="1" applyFill="1"/>
    <xf numFmtId="2" fontId="0" fillId="0" borderId="0" xfId="0" applyNumberFormat="1" applyFont="1" applyFill="1"/>
    <xf numFmtId="171" fontId="0" fillId="0" borderId="0" xfId="0" applyNumberFormat="1"/>
    <xf numFmtId="2" fontId="6" fillId="0" borderId="0" xfId="0" applyNumberFormat="1" applyFont="1"/>
    <xf numFmtId="168" fontId="6" fillId="3" borderId="0" xfId="0" applyNumberFormat="1" applyFont="1" applyFill="1"/>
    <xf numFmtId="168" fontId="7" fillId="3" borderId="0" xfId="0" applyNumberFormat="1" applyFont="1" applyFill="1"/>
    <xf numFmtId="167" fontId="1" fillId="0" borderId="0" xfId="0" applyNumberFormat="1" applyFont="1" applyFill="1"/>
    <xf numFmtId="172" fontId="5" fillId="0" borderId="0" xfId="0" applyNumberFormat="1" applyFont="1"/>
    <xf numFmtId="167" fontId="5" fillId="0" borderId="0" xfId="0" applyNumberFormat="1" applyFont="1"/>
    <xf numFmtId="2" fontId="9" fillId="0" borderId="0" xfId="0" applyNumberFormat="1" applyFont="1"/>
    <xf numFmtId="2" fontId="7" fillId="3" borderId="0" xfId="0" applyNumberFormat="1" applyFont="1" applyFill="1"/>
    <xf numFmtId="168" fontId="6" fillId="0" borderId="0" xfId="0" applyNumberFormat="1" applyFont="1" applyFill="1" applyBorder="1"/>
    <xf numFmtId="168" fontId="6" fillId="0" borderId="0" xfId="0" applyNumberFormat="1" applyFont="1"/>
    <xf numFmtId="168" fontId="5" fillId="3" borderId="1" xfId="0" applyNumberFormat="1" applyFont="1" applyFill="1" applyBorder="1"/>
    <xf numFmtId="2" fontId="0" fillId="6" borderId="0" xfId="0" applyNumberFormat="1" applyFill="1"/>
    <xf numFmtId="168" fontId="0" fillId="6" borderId="0" xfId="0" applyNumberFormat="1" applyFill="1"/>
    <xf numFmtId="171" fontId="0" fillId="6" borderId="0" xfId="0" applyNumberFormat="1" applyFill="1"/>
    <xf numFmtId="2" fontId="0" fillId="7" borderId="0" xfId="0" applyNumberFormat="1" applyFill="1"/>
    <xf numFmtId="171" fontId="6" fillId="0" borderId="0" xfId="0" applyNumberFormat="1" applyFont="1"/>
    <xf numFmtId="168" fontId="0" fillId="7" borderId="0" xfId="0" applyNumberFormat="1" applyFill="1"/>
    <xf numFmtId="167" fontId="0" fillId="7" borderId="0" xfId="0" applyNumberFormat="1" applyFill="1"/>
    <xf numFmtId="167" fontId="0" fillId="4" borderId="0" xfId="0" applyNumberFormat="1" applyFill="1"/>
    <xf numFmtId="170" fontId="0" fillId="0" borderId="0" xfId="0" applyNumberFormat="1" applyBorder="1" applyAlignment="1">
      <alignment vertical="center" wrapText="1"/>
    </xf>
    <xf numFmtId="172" fontId="5" fillId="0" borderId="0" xfId="0" applyNumberFormat="1" applyFont="1" applyAlignment="1">
      <alignment vertical="center"/>
    </xf>
    <xf numFmtId="171" fontId="1" fillId="0" borderId="0" xfId="0" applyNumberFormat="1" applyFont="1"/>
    <xf numFmtId="1" fontId="1" fillId="0" borderId="0" xfId="0" applyNumberFormat="1" applyFont="1"/>
    <xf numFmtId="172" fontId="0" fillId="0" borderId="0" xfId="0" applyNumberFormat="1" applyFont="1" applyAlignment="1">
      <alignment vertical="center" wrapText="1"/>
    </xf>
    <xf numFmtId="169" fontId="7" fillId="0" borderId="0" xfId="0" applyNumberFormat="1" applyFont="1" applyFill="1"/>
    <xf numFmtId="172" fontId="0" fillId="3" borderId="0" xfId="0" applyNumberFormat="1" applyFill="1"/>
    <xf numFmtId="0" fontId="9" fillId="0" borderId="0" xfId="0" applyFont="1" applyFill="1"/>
    <xf numFmtId="0" fontId="6" fillId="0" borderId="0" xfId="0" applyFont="1" applyFill="1"/>
    <xf numFmtId="14" fontId="0" fillId="0" borderId="0" xfId="0" applyNumberFormat="1" applyFill="1"/>
    <xf numFmtId="22" fontId="0" fillId="0" borderId="0" xfId="0" applyNumberFormat="1" applyFill="1"/>
    <xf numFmtId="0" fontId="5" fillId="0" borderId="0" xfId="0" applyNumberFormat="1" applyFont="1" applyFill="1"/>
    <xf numFmtId="170" fontId="0" fillId="3" borderId="0" xfId="0" applyNumberFormat="1" applyFill="1"/>
    <xf numFmtId="0" fontId="0" fillId="2" borderId="0" xfId="0" applyFill="1" applyAlignment="1">
      <alignment horizontal="right" vertical="center"/>
    </xf>
    <xf numFmtId="170" fontId="13" fillId="2" borderId="0" xfId="0" applyNumberFormat="1" applyFont="1" applyFill="1" applyBorder="1" applyAlignment="1">
      <alignment vertical="center" wrapText="1"/>
    </xf>
    <xf numFmtId="173" fontId="0" fillId="3" borderId="0" xfId="0" applyNumberFormat="1" applyFill="1"/>
    <xf numFmtId="174" fontId="0" fillId="0" borderId="0" xfId="0" applyNumberFormat="1"/>
    <xf numFmtId="170" fontId="0" fillId="0" borderId="0" xfId="0" applyNumberFormat="1" applyFill="1"/>
    <xf numFmtId="21" fontId="0" fillId="0" borderId="0" xfId="0" applyNumberFormat="1" applyFill="1"/>
    <xf numFmtId="168" fontId="5" fillId="0" borderId="0" xfId="0" applyNumberFormat="1" applyFont="1" applyFill="1" applyBorder="1"/>
    <xf numFmtId="0" fontId="0" fillId="0" borderId="0" xfId="0" applyFill="1" applyBorder="1"/>
    <xf numFmtId="0" fontId="0" fillId="0" borderId="0" xfId="0" applyBorder="1"/>
    <xf numFmtId="171" fontId="6" fillId="0" borderId="0" xfId="0" applyNumberFormat="1" applyFont="1" applyFill="1"/>
    <xf numFmtId="168" fontId="9" fillId="0" borderId="0" xfId="0" applyNumberFormat="1" applyFont="1" applyFill="1"/>
    <xf numFmtId="0" fontId="13" fillId="0" borderId="0" xfId="0" applyFont="1" applyFill="1"/>
    <xf numFmtId="0" fontId="3" fillId="0" borderId="0" xfId="0" applyFont="1"/>
    <xf numFmtId="14" fontId="0" fillId="0" borderId="0" xfId="0" applyNumberFormat="1"/>
    <xf numFmtId="22" fontId="0" fillId="2" borderId="0" xfId="0" applyNumberFormat="1" applyFont="1" applyFill="1"/>
    <xf numFmtId="0" fontId="14" fillId="0" borderId="0" xfId="1"/>
    <xf numFmtId="0" fontId="0" fillId="0" borderId="0" xfId="0" applyFont="1"/>
    <xf numFmtId="0" fontId="6" fillId="0" borderId="0" xfId="0" applyFont="1" applyAlignment="1">
      <alignment vertical="center"/>
    </xf>
    <xf numFmtId="175" fontId="5" fillId="0" borderId="0" xfId="0" applyNumberFormat="1" applyFont="1"/>
    <xf numFmtId="176" fontId="5" fillId="0" borderId="0" xfId="0" applyNumberFormat="1" applyFont="1"/>
    <xf numFmtId="170" fontId="5" fillId="0" borderId="0" xfId="0" applyNumberFormat="1" applyFont="1"/>
    <xf numFmtId="0" fontId="16" fillId="0" borderId="0" xfId="0" applyFont="1" applyAlignment="1">
      <alignment vertical="center"/>
    </xf>
    <xf numFmtId="170" fontId="13" fillId="0" borderId="0" xfId="0" applyNumberFormat="1" applyFon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17" fillId="9" borderId="1" xfId="0" applyFont="1" applyFill="1" applyBorder="1" applyAlignment="1">
      <alignment horizontal="left" vertical="center" wrapText="1"/>
    </xf>
    <xf numFmtId="0" fontId="17" fillId="9" borderId="1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vertical="center" wrapText="1"/>
    </xf>
    <xf numFmtId="0" fontId="17" fillId="9" borderId="1" xfId="0" applyFont="1" applyFill="1" applyBorder="1" applyAlignment="1">
      <alignment horizontal="right" vertical="center" wrapText="1"/>
    </xf>
    <xf numFmtId="0" fontId="19" fillId="9" borderId="1" xfId="0" applyFont="1" applyFill="1" applyBorder="1"/>
    <xf numFmtId="166" fontId="19" fillId="9" borderId="1" xfId="0" applyNumberFormat="1" applyFont="1" applyFill="1" applyBorder="1"/>
    <xf numFmtId="176" fontId="19" fillId="9" borderId="1" xfId="0" applyNumberFormat="1" applyFont="1" applyFill="1" applyBorder="1"/>
    <xf numFmtId="0" fontId="0" fillId="0" borderId="0" xfId="0" applyFill="1" applyAlignment="1"/>
    <xf numFmtId="0" fontId="20" fillId="0" borderId="0" xfId="0" applyFont="1" applyFill="1" applyAlignment="1">
      <alignment vertical="center" wrapText="1"/>
    </xf>
    <xf numFmtId="0" fontId="1" fillId="0" borderId="1" xfId="0" applyFont="1" applyBorder="1" applyAlignment="1">
      <alignment horizontal="right"/>
    </xf>
    <xf numFmtId="0" fontId="13" fillId="0" borderId="1" xfId="0" applyFont="1" applyBorder="1"/>
    <xf numFmtId="0" fontId="0" fillId="0" borderId="1" xfId="0" applyFill="1" applyBorder="1"/>
    <xf numFmtId="0" fontId="0" fillId="10" borderId="0" xfId="0" applyFill="1"/>
    <xf numFmtId="0" fontId="22" fillId="0" borderId="1" xfId="0" applyFont="1" applyBorder="1" applyAlignment="1">
      <alignment horizontal="right"/>
    </xf>
    <xf numFmtId="0" fontId="0" fillId="0" borderId="1" xfId="0" applyFont="1" applyBorder="1"/>
    <xf numFmtId="0" fontId="4" fillId="0" borderId="1" xfId="0" applyFont="1" applyBorder="1"/>
    <xf numFmtId="170" fontId="5" fillId="3" borderId="1" xfId="0" applyNumberFormat="1" applyFont="1" applyFill="1" applyBorder="1" applyAlignment="1">
      <alignment horizontal="right"/>
    </xf>
    <xf numFmtId="0" fontId="5" fillId="0" borderId="1" xfId="0" applyFont="1" applyBorder="1"/>
    <xf numFmtId="170" fontId="5" fillId="3" borderId="1" xfId="0" applyNumberFormat="1" applyFont="1" applyFill="1" applyBorder="1"/>
    <xf numFmtId="172" fontId="5" fillId="3" borderId="1" xfId="0" applyNumberFormat="1" applyFont="1" applyFill="1" applyBorder="1"/>
    <xf numFmtId="169" fontId="5" fillId="3" borderId="1" xfId="0" applyNumberFormat="1" applyFont="1" applyFill="1" applyBorder="1"/>
    <xf numFmtId="2" fontId="5" fillId="3" borderId="1" xfId="0" applyNumberFormat="1" applyFont="1" applyFill="1" applyBorder="1"/>
    <xf numFmtId="0" fontId="1" fillId="0" borderId="0" xfId="0" applyFont="1" applyFill="1"/>
    <xf numFmtId="0" fontId="13" fillId="0" borderId="0" xfId="0" applyFont="1"/>
    <xf numFmtId="0" fontId="0" fillId="0" borderId="0" xfId="0" applyAlignment="1">
      <alignment horizontal="right"/>
    </xf>
    <xf numFmtId="14" fontId="6" fillId="0" borderId="0" xfId="0" applyNumberFormat="1" applyFont="1" applyAlignment="1">
      <alignment horizontal="right"/>
    </xf>
    <xf numFmtId="0" fontId="15" fillId="0" borderId="1" xfId="0" applyFont="1" applyBorder="1"/>
    <xf numFmtId="14" fontId="6" fillId="0" borderId="0" xfId="0" applyNumberFormat="1" applyFont="1"/>
    <xf numFmtId="0" fontId="0" fillId="3" borderId="1" xfId="0" applyFill="1" applyBorder="1"/>
    <xf numFmtId="0" fontId="5" fillId="3" borderId="1" xfId="0" applyFont="1" applyFill="1" applyBorder="1"/>
    <xf numFmtId="2" fontId="6" fillId="0" borderId="0" xfId="0" applyNumberFormat="1" applyFont="1" applyFill="1"/>
    <xf numFmtId="0" fontId="1" fillId="0" borderId="0" xfId="0" applyFont="1" applyFill="1" applyAlignment="1">
      <alignment horizontal="right"/>
    </xf>
    <xf numFmtId="168" fontId="7" fillId="0" borderId="0" xfId="0" applyNumberFormat="1" applyFont="1" applyFill="1"/>
    <xf numFmtId="168" fontId="1" fillId="0" borderId="0" xfId="0" applyNumberFormat="1" applyFont="1"/>
    <xf numFmtId="0" fontId="1" fillId="10" borderId="0" xfId="0" applyFont="1" applyFill="1"/>
    <xf numFmtId="0" fontId="13" fillId="0" borderId="1" xfId="0" applyFont="1" applyFill="1" applyBorder="1"/>
    <xf numFmtId="0" fontId="5" fillId="0" borderId="1" xfId="0" applyFont="1" applyFill="1" applyBorder="1"/>
    <xf numFmtId="168" fontId="7" fillId="0" borderId="1" xfId="0" applyNumberFormat="1" applyFont="1" applyFill="1" applyBorder="1"/>
    <xf numFmtId="0" fontId="0" fillId="0" borderId="1" xfId="0" applyBorder="1" applyAlignment="1">
      <alignment horizontal="right"/>
    </xf>
    <xf numFmtId="0" fontId="13" fillId="0" borderId="1" xfId="0" applyFont="1" applyFill="1" applyBorder="1" applyAlignment="1">
      <alignment horizontal="right" vertical="center"/>
    </xf>
    <xf numFmtId="168" fontId="1" fillId="0" borderId="0" xfId="0" applyNumberFormat="1" applyFont="1" applyFill="1"/>
    <xf numFmtId="0" fontId="0" fillId="0" borderId="1" xfId="0" applyBorder="1" applyAlignment="1">
      <alignment vertical="center"/>
    </xf>
    <xf numFmtId="0" fontId="25" fillId="0" borderId="0" xfId="0" applyFont="1"/>
    <xf numFmtId="168" fontId="27" fillId="0" borderId="0" xfId="0" applyNumberFormat="1" applyFont="1"/>
    <xf numFmtId="168" fontId="25" fillId="0" borderId="0" xfId="0" applyNumberFormat="1" applyFont="1"/>
    <xf numFmtId="0" fontId="28" fillId="0" borderId="0" xfId="0" applyFont="1"/>
    <xf numFmtId="169" fontId="5" fillId="0" borderId="0" xfId="0" applyNumberFormat="1" applyFont="1"/>
    <xf numFmtId="0" fontId="1" fillId="11" borderId="0" xfId="0" applyFont="1" applyFill="1"/>
    <xf numFmtId="22" fontId="0" fillId="2" borderId="0" xfId="0" applyNumberFormat="1" applyFill="1"/>
    <xf numFmtId="0" fontId="32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vertical="center"/>
    </xf>
    <xf numFmtId="0" fontId="33" fillId="0" borderId="0" xfId="0" applyFont="1"/>
    <xf numFmtId="0" fontId="22" fillId="0" borderId="0" xfId="0" applyFont="1"/>
    <xf numFmtId="0" fontId="21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15" fillId="0" borderId="0" xfId="0" applyFont="1"/>
    <xf numFmtId="0" fontId="5" fillId="3" borderId="0" xfId="0" applyFont="1" applyFill="1"/>
    <xf numFmtId="169" fontId="19" fillId="0" borderId="0" xfId="0" applyNumberFormat="1" applyFont="1" applyAlignment="1">
      <alignment vertical="center"/>
    </xf>
    <xf numFmtId="169" fontId="5" fillId="0" borderId="0" xfId="0" applyNumberFormat="1" applyFont="1" applyAlignment="1">
      <alignment vertical="center"/>
    </xf>
    <xf numFmtId="172" fontId="19" fillId="0" borderId="0" xfId="0" applyNumberFormat="1" applyFont="1" applyAlignment="1">
      <alignment vertical="center"/>
    </xf>
    <xf numFmtId="170" fontId="19" fillId="0" borderId="0" xfId="0" applyNumberFormat="1" applyFont="1" applyAlignment="1">
      <alignment vertical="center"/>
    </xf>
    <xf numFmtId="172" fontId="19" fillId="0" borderId="0" xfId="0" applyNumberFormat="1" applyFont="1"/>
    <xf numFmtId="0" fontId="35" fillId="0" borderId="0" xfId="0" applyFont="1"/>
    <xf numFmtId="0" fontId="0" fillId="0" borderId="0" xfId="0" applyFont="1" applyAlignment="1"/>
    <xf numFmtId="176" fontId="6" fillId="0" borderId="0" xfId="0" applyNumberFormat="1" applyFont="1"/>
    <xf numFmtId="0" fontId="25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22" fontId="11" fillId="2" borderId="0" xfId="0" applyNumberFormat="1" applyFont="1" applyFill="1"/>
    <xf numFmtId="0" fontId="3" fillId="9" borderId="0" xfId="0" applyFont="1" applyFill="1"/>
    <xf numFmtId="0" fontId="0" fillId="9" borderId="0" xfId="0" applyFill="1"/>
    <xf numFmtId="22" fontId="0" fillId="9" borderId="0" xfId="0" applyNumberFormat="1" applyFill="1"/>
    <xf numFmtId="172" fontId="0" fillId="9" borderId="0" xfId="0" applyNumberFormat="1" applyFill="1"/>
    <xf numFmtId="0" fontId="5" fillId="9" borderId="0" xfId="0" applyFont="1" applyFill="1"/>
    <xf numFmtId="173" fontId="5" fillId="9" borderId="0" xfId="0" applyNumberFormat="1" applyFont="1" applyFill="1"/>
    <xf numFmtId="20" fontId="0" fillId="9" borderId="0" xfId="0" applyNumberFormat="1" applyFill="1"/>
    <xf numFmtId="169" fontId="5" fillId="9" borderId="0" xfId="0" applyNumberFormat="1" applyFont="1" applyFill="1"/>
    <xf numFmtId="173" fontId="13" fillId="12" borderId="0" xfId="0" applyNumberFormat="1" applyFont="1" applyFill="1"/>
    <xf numFmtId="0" fontId="13" fillId="3" borderId="0" xfId="0" applyFont="1" applyFill="1"/>
    <xf numFmtId="0" fontId="0" fillId="13" borderId="0" xfId="0" applyFill="1"/>
    <xf numFmtId="169" fontId="6" fillId="0" borderId="0" xfId="0" applyNumberFormat="1" applyFont="1" applyFill="1"/>
    <xf numFmtId="173" fontId="13" fillId="3" borderId="0" xfId="0" applyNumberFormat="1" applyFont="1" applyFill="1"/>
    <xf numFmtId="173" fontId="5" fillId="0" borderId="0" xfId="0" applyNumberFormat="1" applyFont="1" applyFill="1"/>
    <xf numFmtId="173" fontId="13" fillId="0" borderId="0" xfId="0" applyNumberFormat="1" applyFont="1" applyFill="1"/>
    <xf numFmtId="0" fontId="2" fillId="0" borderId="0" xfId="0" applyFont="1" applyFill="1"/>
    <xf numFmtId="0" fontId="0" fillId="13" borderId="0" xfId="0" applyFont="1" applyFill="1"/>
    <xf numFmtId="0" fontId="0" fillId="0" borderId="0" xfId="0" applyFont="1" applyFill="1"/>
    <xf numFmtId="0" fontId="40" fillId="0" borderId="0" xfId="0" applyFont="1"/>
    <xf numFmtId="2" fontId="13" fillId="3" borderId="0" xfId="0" applyNumberFormat="1" applyFont="1" applyFill="1"/>
    <xf numFmtId="0" fontId="41" fillId="0" borderId="0" xfId="0" applyFont="1" applyFill="1"/>
    <xf numFmtId="167" fontId="13" fillId="3" borderId="0" xfId="0" applyNumberFormat="1" applyFont="1" applyFill="1"/>
    <xf numFmtId="167" fontId="5" fillId="0" borderId="0" xfId="0" applyNumberFormat="1" applyFont="1" applyFill="1"/>
    <xf numFmtId="0" fontId="0" fillId="0" borderId="0" xfId="0" applyAlignment="1">
      <alignment horizontal="left"/>
    </xf>
    <xf numFmtId="1" fontId="13" fillId="3" borderId="0" xfId="0" applyNumberFormat="1" applyFont="1" applyFill="1"/>
    <xf numFmtId="2" fontId="0" fillId="13" borderId="0" xfId="0" applyNumberFormat="1" applyFont="1" applyFill="1"/>
    <xf numFmtId="0" fontId="12" fillId="0" borderId="0" xfId="0" applyFont="1"/>
    <xf numFmtId="167" fontId="5" fillId="3" borderId="0" xfId="0" applyNumberFormat="1" applyFont="1" applyFill="1"/>
    <xf numFmtId="172" fontId="5" fillId="0" borderId="0" xfId="0" applyNumberFormat="1" applyFont="1" applyFill="1"/>
    <xf numFmtId="20" fontId="5" fillId="0" borderId="0" xfId="0" applyNumberFormat="1" applyFont="1"/>
    <xf numFmtId="169" fontId="0" fillId="3" borderId="0" xfId="0" applyNumberFormat="1" applyFill="1"/>
    <xf numFmtId="0" fontId="1" fillId="2" borderId="0" xfId="0" applyFont="1" applyFill="1"/>
    <xf numFmtId="0" fontId="1" fillId="4" borderId="0" xfId="0" applyFont="1" applyFill="1"/>
    <xf numFmtId="172" fontId="0" fillId="0" borderId="0" xfId="0" applyNumberFormat="1" applyFill="1"/>
    <xf numFmtId="0" fontId="0" fillId="0" borderId="0" xfId="0" applyFill="1" applyAlignment="1">
      <alignment horizontal="right" vertical="center"/>
    </xf>
    <xf numFmtId="0" fontId="1" fillId="14" borderId="0" xfId="0" applyFont="1" applyFill="1"/>
    <xf numFmtId="0" fontId="1" fillId="8" borderId="0" xfId="0" applyFont="1" applyFill="1"/>
    <xf numFmtId="21" fontId="42" fillId="0" borderId="0" xfId="0" applyNumberFormat="1" applyFont="1" applyAlignment="1">
      <alignment horizontal="center" vertical="center"/>
    </xf>
    <xf numFmtId="20" fontId="0" fillId="0" borderId="0" xfId="0" applyNumberFormat="1" applyAlignment="1">
      <alignment vertical="center"/>
    </xf>
    <xf numFmtId="1" fontId="0" fillId="0" borderId="0" xfId="0" applyNumberFormat="1" applyAlignment="1">
      <alignment vertical="center"/>
    </xf>
    <xf numFmtId="0" fontId="0" fillId="0" borderId="0" xfId="0" applyAlignment="1"/>
    <xf numFmtId="22" fontId="8" fillId="0" borderId="0" xfId="0" applyNumberFormat="1" applyFont="1" applyAlignment="1">
      <alignment vertical="center"/>
    </xf>
    <xf numFmtId="177" fontId="1" fillId="0" borderId="0" xfId="0" applyNumberFormat="1" applyFont="1"/>
    <xf numFmtId="20" fontId="0" fillId="0" borderId="0" xfId="0" applyNumberFormat="1"/>
    <xf numFmtId="0" fontId="1" fillId="0" borderId="0" xfId="0" applyFont="1" applyAlignment="1"/>
    <xf numFmtId="0" fontId="5" fillId="0" borderId="0" xfId="0" applyFont="1" applyAlignment="1"/>
    <xf numFmtId="0" fontId="8" fillId="0" borderId="0" xfId="0" applyFont="1" applyAlignment="1"/>
    <xf numFmtId="0" fontId="3" fillId="0" borderId="0" xfId="0" applyFont="1" applyAlignment="1"/>
    <xf numFmtId="0" fontId="0" fillId="0" borderId="0" xfId="0" applyFont="1" applyFill="1" applyAlignment="1"/>
    <xf numFmtId="0" fontId="12" fillId="0" borderId="0" xfId="0" applyFont="1" applyAlignment="1"/>
    <xf numFmtId="0" fontId="5" fillId="3" borderId="0" xfId="0" applyFont="1" applyFill="1" applyAlignment="1"/>
    <xf numFmtId="0" fontId="3" fillId="0" borderId="0" xfId="0" applyFont="1" applyFill="1" applyAlignment="1"/>
    <xf numFmtId="0" fontId="43" fillId="0" borderId="0" xfId="0" applyFont="1"/>
    <xf numFmtId="0" fontId="42" fillId="3" borderId="0" xfId="0" applyFont="1" applyFill="1" applyAlignment="1"/>
    <xf numFmtId="0" fontId="42" fillId="0" borderId="0" xfId="0" applyFont="1" applyAlignment="1"/>
    <xf numFmtId="0" fontId="44" fillId="0" borderId="0" xfId="0" applyFont="1"/>
    <xf numFmtId="168" fontId="0" fillId="0" borderId="0" xfId="0" applyNumberFormat="1" applyFill="1"/>
    <xf numFmtId="0" fontId="45" fillId="0" borderId="0" xfId="0" applyFont="1"/>
    <xf numFmtId="168" fontId="46" fillId="0" borderId="0" xfId="0" applyNumberFormat="1" applyFont="1"/>
    <xf numFmtId="1" fontId="0" fillId="0" borderId="0" xfId="0" applyNumberFormat="1"/>
    <xf numFmtId="21" fontId="0" fillId="3" borderId="0" xfId="0" applyNumberFormat="1" applyFont="1" applyFill="1" applyAlignment="1">
      <alignment horizontal="center" vertical="center"/>
    </xf>
    <xf numFmtId="170" fontId="6" fillId="0" borderId="0" xfId="0" applyNumberFormat="1" applyFont="1"/>
    <xf numFmtId="1" fontId="0" fillId="0" borderId="0" xfId="0" applyNumberFormat="1" applyAlignment="1">
      <alignment horizontal="center" vertical="center"/>
    </xf>
    <xf numFmtId="2" fontId="0" fillId="9" borderId="0" xfId="0" applyNumberFormat="1" applyFill="1"/>
    <xf numFmtId="168" fontId="9" fillId="3" borderId="1" xfId="0" applyNumberFormat="1" applyFont="1" applyFill="1" applyBorder="1"/>
    <xf numFmtId="175" fontId="0" fillId="0" borderId="0" xfId="0" applyNumberFormat="1" applyFill="1"/>
    <xf numFmtId="171" fontId="25" fillId="0" borderId="0" xfId="0" applyNumberFormat="1" applyFont="1"/>
    <xf numFmtId="171" fontId="0" fillId="0" borderId="0" xfId="0" applyNumberFormat="1" applyFill="1"/>
    <xf numFmtId="21" fontId="42" fillId="0" borderId="0" xfId="0" applyNumberFormat="1" applyFont="1"/>
    <xf numFmtId="0" fontId="0" fillId="0" borderId="0" xfId="0" applyAlignment="1">
      <alignment horizontal="left" vertical="center" wrapText="1"/>
    </xf>
    <xf numFmtId="14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20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right" vertical="center" wrapText="1"/>
    </xf>
    <xf numFmtId="20" fontId="6" fillId="0" borderId="0" xfId="0" applyNumberFormat="1" applyFont="1"/>
    <xf numFmtId="22" fontId="6" fillId="0" borderId="0" xfId="0" applyNumberFormat="1" applyFont="1"/>
    <xf numFmtId="22" fontId="0" fillId="0" borderId="0" xfId="0" applyNumberFormat="1" applyAlignment="1">
      <alignment horizontal="right" vertical="center"/>
    </xf>
    <xf numFmtId="2" fontId="42" fillId="0" borderId="0" xfId="0" applyNumberFormat="1" applyFont="1" applyAlignment="1"/>
    <xf numFmtId="0" fontId="42" fillId="0" borderId="0" xfId="0" applyFont="1" applyFill="1" applyAlignment="1"/>
    <xf numFmtId="0" fontId="0" fillId="15" borderId="0" xfId="0" applyFill="1"/>
    <xf numFmtId="0" fontId="25" fillId="15" borderId="0" xfId="0" applyFont="1" applyFill="1"/>
    <xf numFmtId="0" fontId="0" fillId="16" borderId="0" xfId="0" applyFill="1"/>
    <xf numFmtId="21" fontId="0" fillId="16" borderId="0" xfId="0" applyNumberFormat="1" applyFill="1"/>
    <xf numFmtId="21" fontId="5" fillId="15" borderId="0" xfId="0" applyNumberFormat="1" applyFont="1" applyFill="1"/>
    <xf numFmtId="0" fontId="0" fillId="0" borderId="0" xfId="0" applyAlignment="1"/>
    <xf numFmtId="22" fontId="47" fillId="0" borderId="0" xfId="0" applyNumberFormat="1" applyFont="1"/>
    <xf numFmtId="20" fontId="42" fillId="2" borderId="0" xfId="0" applyNumberFormat="1" applyFont="1" applyFill="1" applyProtection="1">
      <protection locked="0"/>
    </xf>
    <xf numFmtId="2" fontId="42" fillId="2" borderId="0" xfId="0" applyNumberFormat="1" applyFont="1" applyFill="1" applyAlignment="1" applyProtection="1">
      <protection locked="0"/>
    </xf>
    <xf numFmtId="22" fontId="0" fillId="3" borderId="0" xfId="0" applyNumberFormat="1" applyFont="1" applyFill="1" applyAlignment="1">
      <alignment horizontal="center" vertical="center"/>
    </xf>
    <xf numFmtId="0" fontId="0" fillId="0" borderId="0" xfId="0" applyAlignment="1"/>
    <xf numFmtId="14" fontId="42" fillId="2" borderId="0" xfId="0" applyNumberFormat="1" applyFont="1" applyFill="1" applyAlignment="1" applyProtection="1">
      <protection locked="0"/>
    </xf>
    <xf numFmtId="0" fontId="0" fillId="0" borderId="0" xfId="0" applyAlignment="1" applyProtection="1">
      <protection locked="0"/>
    </xf>
    <xf numFmtId="0" fontId="0" fillId="0" borderId="0" xfId="0" applyAlignment="1">
      <alignment vertical="center" wrapText="1"/>
    </xf>
    <xf numFmtId="0" fontId="13" fillId="0" borderId="0" xfId="0" applyFont="1" applyFill="1" applyBorder="1"/>
    <xf numFmtId="0" fontId="21" fillId="0" borderId="0" xfId="0" applyFont="1" applyFill="1" applyAlignment="1">
      <alignment vertical="center"/>
    </xf>
    <xf numFmtId="0" fontId="23" fillId="0" borderId="0" xfId="0" applyFont="1" applyFill="1" applyAlignment="1">
      <alignment vertical="center"/>
    </xf>
    <xf numFmtId="0" fontId="16" fillId="0" borderId="0" xfId="0" applyFont="1" applyFill="1" applyBorder="1" applyAlignment="1">
      <alignment vertical="center"/>
    </xf>
    <xf numFmtId="0" fontId="24" fillId="0" borderId="0" xfId="0" applyFont="1" applyFill="1"/>
    <xf numFmtId="1" fontId="24" fillId="0" borderId="0" xfId="0" applyNumberFormat="1" applyFont="1" applyFill="1"/>
    <xf numFmtId="2" fontId="0" fillId="0" borderId="0" xfId="0" applyNumberFormat="1" applyFill="1" applyBorder="1"/>
    <xf numFmtId="0" fontId="6" fillId="0" borderId="0" xfId="0" applyFont="1" applyFill="1" applyBorder="1"/>
    <xf numFmtId="0" fontId="0" fillId="0" borderId="0" xfId="0" applyFill="1" applyBorder="1" applyAlignment="1">
      <alignment horizontal="right"/>
    </xf>
    <xf numFmtId="14" fontId="6" fillId="0" borderId="0" xfId="0" applyNumberFormat="1" applyFont="1" applyFill="1"/>
    <xf numFmtId="14" fontId="13" fillId="0" borderId="0" xfId="0" applyNumberFormat="1" applyFont="1" applyFill="1"/>
    <xf numFmtId="14" fontId="24" fillId="0" borderId="0" xfId="0" applyNumberFormat="1" applyFont="1" applyFill="1"/>
    <xf numFmtId="0" fontId="25" fillId="0" borderId="0" xfId="0" applyFont="1" applyFill="1" applyBorder="1"/>
    <xf numFmtId="0" fontId="25" fillId="0" borderId="0" xfId="0" applyFont="1" applyFill="1"/>
    <xf numFmtId="168" fontId="26" fillId="0" borderId="0" xfId="0" applyNumberFormat="1" applyFont="1" applyFill="1"/>
    <xf numFmtId="0" fontId="26" fillId="0" borderId="0" xfId="0" applyFont="1" applyFill="1"/>
    <xf numFmtId="168" fontId="25" fillId="0" borderId="0" xfId="0" applyNumberFormat="1" applyFont="1" applyFill="1" applyBorder="1"/>
    <xf numFmtId="168" fontId="25" fillId="0" borderId="0" xfId="0" applyNumberFormat="1" applyFont="1" applyFill="1"/>
    <xf numFmtId="168" fontId="13" fillId="0" borderId="0" xfId="0" applyNumberFormat="1" applyFont="1" applyFill="1"/>
  </cellXfs>
  <cellStyles count="2">
    <cellStyle name="Hyperlink" xfId="1" builtinId="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1"/>
          <c:spPr>
            <a:ln w="762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Tabelle1!$E$88:$F$88</c:f>
              <c:numCache>
                <c:formatCode>General</c:formatCode>
                <c:ptCount val="2"/>
                <c:pt idx="0">
                  <c:v>-0.1586523281813508</c:v>
                </c:pt>
                <c:pt idx="1">
                  <c:v>0</c:v>
                </c:pt>
              </c:numCache>
            </c:numRef>
          </c:xVal>
          <c:yVal>
            <c:numRef>
              <c:f>Tabelle1!$E$89:$F$89</c:f>
              <c:numCache>
                <c:formatCode>General</c:formatCode>
                <c:ptCount val="2"/>
                <c:pt idx="0">
                  <c:v>-0.47416182761019149</c:v>
                </c:pt>
                <c:pt idx="1">
                  <c:v>0</c:v>
                </c:pt>
              </c:numCache>
            </c:numRef>
          </c:yVal>
          <c:smooth val="0"/>
        </c:ser>
        <c:ser>
          <c:idx val="2"/>
          <c:order val="2"/>
          <c:spPr>
            <a:ln w="508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Tabelle1!$E$92:$F$92</c:f>
              <c:numCache>
                <c:formatCode>General</c:formatCode>
                <c:ptCount val="2"/>
                <c:pt idx="0">
                  <c:v>-0.60221754536420946</c:v>
                </c:pt>
                <c:pt idx="1">
                  <c:v>0</c:v>
                </c:pt>
              </c:numCache>
            </c:numRef>
          </c:xVal>
          <c:yVal>
            <c:numRef>
              <c:f>Tabelle1!$E$93:$F$93</c:f>
              <c:numCache>
                <c:formatCode>General</c:formatCode>
                <c:ptCount val="2"/>
                <c:pt idx="0">
                  <c:v>-0.66883034325268631</c:v>
                </c:pt>
                <c:pt idx="1">
                  <c:v>0</c:v>
                </c:pt>
              </c:numCache>
            </c:numRef>
          </c:yVal>
          <c:smooth val="0"/>
        </c:ser>
        <c:ser>
          <c:idx val="0"/>
          <c:order val="0"/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Tabelle1!$E$97:$F$97</c:f>
              <c:numCache>
                <c:formatCode>General</c:formatCode>
                <c:ptCount val="2"/>
                <c:pt idx="0">
                  <c:v>-2.8965777996861959E-8</c:v>
                </c:pt>
                <c:pt idx="1">
                  <c:v>0</c:v>
                </c:pt>
              </c:numCache>
            </c:numRef>
          </c:xVal>
          <c:yVal>
            <c:numRef>
              <c:f>Tabelle1!$E$98:$F$98</c:f>
              <c:numCache>
                <c:formatCode>General</c:formatCode>
                <c:ptCount val="2"/>
                <c:pt idx="0">
                  <c:v>0.89999999999999947</c:v>
                </c:pt>
                <c:pt idx="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091712"/>
        <c:axId val="73101696"/>
      </c:scatterChart>
      <c:valAx>
        <c:axId val="73091712"/>
        <c:scaling>
          <c:orientation val="minMax"/>
          <c:max val="1"/>
          <c:min val="-1"/>
        </c:scaling>
        <c:delete val="1"/>
        <c:axPos val="b"/>
        <c:numFmt formatCode="General" sourceLinked="1"/>
        <c:majorTickMark val="out"/>
        <c:minorTickMark val="none"/>
        <c:tickLblPos val="nextTo"/>
        <c:crossAx val="73101696"/>
        <c:crosses val="autoZero"/>
        <c:crossBetween val="midCat"/>
        <c:majorUnit val="0.1"/>
      </c:valAx>
      <c:valAx>
        <c:axId val="73101696"/>
        <c:scaling>
          <c:orientation val="minMax"/>
          <c:max val="1"/>
          <c:min val="-1"/>
        </c:scaling>
        <c:delete val="1"/>
        <c:axPos val="l"/>
        <c:numFmt formatCode="General" sourceLinked="1"/>
        <c:majorTickMark val="out"/>
        <c:minorTickMark val="none"/>
        <c:tickLblPos val="nextTo"/>
        <c:crossAx val="7309171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1" cstate="print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2.1505376344086021E-3"/>
          <c:w val="1"/>
          <c:h val="0.99784946236559136"/>
        </c:manualLayout>
      </c:layout>
      <c:scatterChart>
        <c:scatterStyle val="lineMarker"/>
        <c:varyColors val="0"/>
        <c:ser>
          <c:idx val="1"/>
          <c:order val="1"/>
          <c:spPr>
            <a:ln w="762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Tabelle1!$L$88:$M$88</c:f>
              <c:numCache>
                <c:formatCode>General</c:formatCode>
                <c:ptCount val="2"/>
                <c:pt idx="0">
                  <c:v>0.4288237616936284</c:v>
                </c:pt>
                <c:pt idx="1">
                  <c:v>0</c:v>
                </c:pt>
              </c:numCache>
            </c:numRef>
          </c:xVal>
          <c:yVal>
            <c:numRef>
              <c:f>Tabelle1!$L$89:$M$89</c:f>
              <c:numCache>
                <c:formatCode>General</c:formatCode>
                <c:ptCount val="2"/>
                <c:pt idx="0">
                  <c:v>0.41965483603424159</c:v>
                </c:pt>
                <c:pt idx="1">
                  <c:v>0</c:v>
                </c:pt>
              </c:numCache>
            </c:numRef>
          </c:yVal>
          <c:smooth val="0"/>
        </c:ser>
        <c:ser>
          <c:idx val="3"/>
          <c:order val="2"/>
          <c:spPr>
            <a:ln w="508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Tabelle1!$L$93:$M$93</c:f>
              <c:numCache>
                <c:formatCode>General</c:formatCode>
                <c:ptCount val="2"/>
                <c:pt idx="0">
                  <c:v>0.25644405829411743</c:v>
                </c:pt>
                <c:pt idx="1">
                  <c:v>0</c:v>
                </c:pt>
              </c:numCache>
            </c:numRef>
          </c:xVal>
          <c:yVal>
            <c:numRef>
              <c:f>Tabelle1!$L$94:$M$94</c:f>
              <c:numCache>
                <c:formatCode>General</c:formatCode>
                <c:ptCount val="2"/>
                <c:pt idx="0">
                  <c:v>0.96655907474175795</c:v>
                </c:pt>
                <c:pt idx="1">
                  <c:v>0</c:v>
                </c:pt>
              </c:numCache>
            </c:numRef>
          </c:yVal>
          <c:smooth val="0"/>
        </c:ser>
        <c:ser>
          <c:idx val="0"/>
          <c:order val="0"/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Tabelle1!$L$98:$M$98</c:f>
              <c:numCache>
                <c:formatCode>General</c:formatCode>
                <c:ptCount val="2"/>
                <c:pt idx="0">
                  <c:v>0.14694360314594732</c:v>
                </c:pt>
                <c:pt idx="1">
                  <c:v>0</c:v>
                </c:pt>
              </c:numCache>
            </c:numRef>
          </c:xVal>
          <c:yVal>
            <c:numRef>
              <c:f>Tabelle1!$L$99:$M$99</c:f>
              <c:numCache>
                <c:formatCode>General</c:formatCode>
                <c:ptCount val="2"/>
                <c:pt idx="0">
                  <c:v>-0.98914487184359723</c:v>
                </c:pt>
                <c:pt idx="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122944"/>
        <c:axId val="73124480"/>
      </c:scatterChart>
      <c:valAx>
        <c:axId val="73122944"/>
        <c:scaling>
          <c:orientation val="minMax"/>
          <c:max val="1"/>
          <c:min val="-1"/>
        </c:scaling>
        <c:delete val="1"/>
        <c:axPos val="b"/>
        <c:numFmt formatCode="General" sourceLinked="1"/>
        <c:majorTickMark val="out"/>
        <c:minorTickMark val="none"/>
        <c:tickLblPos val="nextTo"/>
        <c:crossAx val="73124480"/>
        <c:crosses val="autoZero"/>
        <c:crossBetween val="midCat"/>
        <c:majorUnit val="0.1"/>
      </c:valAx>
      <c:valAx>
        <c:axId val="73124480"/>
        <c:scaling>
          <c:orientation val="minMax"/>
          <c:max val="1"/>
          <c:min val="-1"/>
        </c:scaling>
        <c:delete val="1"/>
        <c:axPos val="l"/>
        <c:numFmt formatCode="General" sourceLinked="1"/>
        <c:majorTickMark val="out"/>
        <c:minorTickMark val="none"/>
        <c:tickLblPos val="nextTo"/>
        <c:crossAx val="73122944"/>
        <c:crosses val="autoZero"/>
        <c:crossBetween val="midCat"/>
      </c:valAx>
      <c:spPr>
        <a:blipFill dpi="0"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c:spPr>
    </c:plotArea>
    <c:plotVisOnly val="1"/>
    <c:dispBlanksAs val="gap"/>
    <c:showDLblsOverMax val="0"/>
  </c:chart>
  <c:spPr>
    <a:noFill/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4467375886364349E-2"/>
          <c:y val="1.4343099816385613E-2"/>
          <c:w val="0.9769119716653536"/>
          <c:h val="0.96264367816091956"/>
        </c:manualLayout>
      </c:layout>
      <c:scatterChart>
        <c:scatterStyle val="lineMarker"/>
        <c:varyColors val="0"/>
        <c:ser>
          <c:idx val="0"/>
          <c:order val="0"/>
          <c:tx>
            <c:v>Azimut Sonne</c:v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10"/>
          </c:marker>
          <c:dPt>
            <c:idx val="0"/>
            <c:marker>
              <c:symbol val="circle"/>
              <c:size val="12"/>
              <c:spPr>
                <a:solidFill>
                  <a:srgbClr val="FFFF00"/>
                </a:solidFill>
                <a:ln>
                  <a:solidFill>
                    <a:schemeClr val="tx1"/>
                  </a:solidFill>
                </a:ln>
                <a:effectLst>
                  <a:glow rad="762000">
                    <a:srgbClr val="FFFF00">
                      <a:alpha val="40000"/>
                    </a:srgbClr>
                  </a:glow>
                  <a:softEdge rad="0"/>
                </a:effectLst>
              </c:spPr>
            </c:marker>
            <c:bubble3D val="0"/>
            <c:spPr>
              <a:ln>
                <a:solidFill>
                  <a:srgbClr val="0070C0"/>
                </a:solidFill>
              </a:ln>
              <a:effectLst>
                <a:glow rad="762000">
                  <a:srgbClr val="FFFF00">
                    <a:alpha val="40000"/>
                  </a:srgbClr>
                </a:glow>
                <a:softEdge rad="0"/>
              </a:effectLst>
            </c:spPr>
          </c:dPt>
          <c:dPt>
            <c:idx val="1"/>
            <c:marker>
              <c:symbol val="none"/>
            </c:marker>
            <c:bubble3D val="0"/>
          </c:dPt>
          <c:xVal>
            <c:numRef>
              <c:f>Tabelle1!$R$93:$S$93</c:f>
              <c:numCache>
                <c:formatCode>General</c:formatCode>
                <c:ptCount val="2"/>
                <c:pt idx="0">
                  <c:v>-0.65371201699983139</c:v>
                </c:pt>
                <c:pt idx="1">
                  <c:v>0</c:v>
                </c:pt>
              </c:numCache>
            </c:numRef>
          </c:xVal>
          <c:yVal>
            <c:numRef>
              <c:f>Tabelle1!$R$94:$S$94</c:f>
              <c:numCache>
                <c:formatCode>General</c:formatCode>
                <c:ptCount val="2"/>
                <c:pt idx="0">
                  <c:v>-0.11689860467532526</c:v>
                </c:pt>
                <c:pt idx="1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Azimut Mond</c:v>
          </c:tx>
          <c:spPr>
            <a:ln>
              <a:solidFill>
                <a:srgbClr val="0070C0"/>
              </a:solidFill>
            </a:ln>
          </c:spPr>
          <c:dPt>
            <c:idx val="0"/>
            <c:marker>
              <c:symbol val="circle"/>
              <c:size val="10"/>
              <c:spPr>
                <a:solidFill>
                  <a:srgbClr val="FFC000"/>
                </a:solidFill>
              </c:spPr>
            </c:marker>
            <c:bubble3D val="0"/>
          </c:dPt>
          <c:dPt>
            <c:idx val="1"/>
            <c:marker>
              <c:symbol val="none"/>
            </c:marker>
            <c:bubble3D val="0"/>
          </c:dPt>
          <c:xVal>
            <c:numRef>
              <c:f>Tabelle1!$R$98:$S$98</c:f>
              <c:numCache>
                <c:formatCode>General</c:formatCode>
                <c:ptCount val="2"/>
                <c:pt idx="0">
                  <c:v>-0.55762860464032016</c:v>
                </c:pt>
                <c:pt idx="1">
                  <c:v>0</c:v>
                </c:pt>
              </c:numCache>
            </c:numRef>
          </c:xVal>
          <c:yVal>
            <c:numRef>
              <c:f>Tabelle1!$R$99:$S$99</c:f>
              <c:numCache>
                <c:formatCode>General</c:formatCode>
                <c:ptCount val="2"/>
                <c:pt idx="0">
                  <c:v>0.16039297258073479</c:v>
                </c:pt>
                <c:pt idx="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28288"/>
        <c:axId val="73229824"/>
      </c:scatterChart>
      <c:valAx>
        <c:axId val="73228288"/>
        <c:scaling>
          <c:orientation val="minMax"/>
          <c:max val="1"/>
          <c:min val="-1"/>
        </c:scaling>
        <c:delete val="1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73229824"/>
        <c:crosses val="autoZero"/>
        <c:crossBetween val="midCat"/>
      </c:valAx>
      <c:valAx>
        <c:axId val="73229824"/>
        <c:scaling>
          <c:orientation val="minMax"/>
          <c:max val="1"/>
          <c:min val="-1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73228288"/>
        <c:crosses val="autoZero"/>
        <c:crossBetween val="midCat"/>
      </c:valAx>
      <c:spPr>
        <a:blipFill dpi="0"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Tabelle1!$A$1</c:f>
          <c:strCache>
            <c:ptCount val="1"/>
            <c:pt idx="0">
              <c:v>01.02.2019 18:37</c:v>
            </c:pt>
          </c:strCache>
        </c:strRef>
      </c:tx>
      <c:layout>
        <c:manualLayout>
          <c:xMode val="edge"/>
          <c:yMode val="edge"/>
          <c:x val="8.4629087017618256E-3"/>
          <c:y val="7.1111111111111115E-3"/>
        </c:manualLayout>
      </c:layout>
      <c:overlay val="1"/>
      <c:txPr>
        <a:bodyPr/>
        <a:lstStyle/>
        <a:p>
          <a:pPr>
            <a:defRPr sz="1400" b="0"/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5.6283071567925669E-4"/>
          <c:w val="1"/>
          <c:h val="0.9994372222222222"/>
        </c:manualLayout>
      </c:layout>
      <c:scatterChart>
        <c:scatterStyle val="lineMarker"/>
        <c:varyColors val="0"/>
        <c:ser>
          <c:idx val="1"/>
          <c:order val="1"/>
          <c:tx>
            <c:v>Mond</c:v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FFC000"/>
              </a:solidFill>
            </c:spPr>
          </c:marker>
          <c:dPt>
            <c:idx val="0"/>
            <c:marker>
              <c:symbol val="circle"/>
              <c:size val="7"/>
              <c:spPr>
                <a:solidFill>
                  <a:srgbClr val="FFC000"/>
                </a:solidFill>
                <a:ln>
                  <a:solidFill>
                    <a:schemeClr val="tx1"/>
                  </a:solidFill>
                </a:ln>
                <a:effectLst>
                  <a:glow rad="101600">
                    <a:schemeClr val="accent6">
                      <a:satMod val="175000"/>
                      <a:alpha val="40000"/>
                    </a:schemeClr>
                  </a:glow>
                </a:effectLst>
              </c:spPr>
            </c:marker>
            <c:bubble3D val="0"/>
            <c:spPr>
              <a:ln w="28575">
                <a:noFill/>
              </a:ln>
              <a:effectLst>
                <a:glow rad="101600">
                  <a:schemeClr val="accent6">
                    <a:satMod val="175000"/>
                    <a:alpha val="40000"/>
                  </a:schemeClr>
                </a:glow>
              </a:effectLst>
            </c:spPr>
          </c:dPt>
          <c:dPt>
            <c:idx val="1"/>
            <c:marker>
              <c:symbol val="circle"/>
              <c:size val="3"/>
              <c:spPr>
                <a:solidFill>
                  <a:srgbClr val="FF0000"/>
                </a:solidFill>
                <a:ln>
                  <a:noFill/>
                </a:ln>
              </c:spPr>
            </c:marker>
            <c:bubble3D val="0"/>
          </c:dPt>
          <c:dLbls>
            <c:dLbl>
              <c:idx val="1"/>
              <c:delete val="1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Tabelle1!$E$113:$F$113</c:f>
              <c:numCache>
                <c:formatCode>General</c:formatCode>
                <c:ptCount val="2"/>
                <c:pt idx="0">
                  <c:v>-0.64229180234565542</c:v>
                </c:pt>
                <c:pt idx="1">
                  <c:v>0</c:v>
                </c:pt>
              </c:numCache>
            </c:numRef>
          </c:xVal>
          <c:yVal>
            <c:numRef>
              <c:f>Tabelle1!$E$114:$F$114</c:f>
              <c:numCache>
                <c:formatCode>General</c:formatCode>
                <c:ptCount val="2"/>
                <c:pt idx="0">
                  <c:v>0.10278320379299262</c:v>
                </c:pt>
                <c:pt idx="1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v>Sichtbarkeitsfenster</c:v>
          </c:tx>
          <c:spPr>
            <a:ln w="381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rgbClr val="0070C0"/>
              </a:solidFill>
              <a:ln>
                <a:noFill/>
              </a:ln>
            </c:spPr>
          </c:marker>
          <c:xVal>
            <c:numRef>
              <c:f>Tabelle3!$H$17:$H$377</c:f>
              <c:numCache>
                <c:formatCode>0.0</c:formatCode>
                <c:ptCount val="361"/>
                <c:pt idx="0">
                  <c:v>-0.18532333567859646</c:v>
                </c:pt>
                <c:pt idx="1">
                  <c:v>-0.19234332027374582</c:v>
                </c:pt>
                <c:pt idx="2">
                  <c:v>-0.19924142796432251</c:v>
                </c:pt>
                <c:pt idx="3">
                  <c:v>-0.20601555751990056</c:v>
                </c:pt>
                <c:pt idx="4">
                  <c:v>-0.21266364547499475</c:v>
                </c:pt>
                <c:pt idx="5">
                  <c:v>-0.21918366675761261</c:v>
                </c:pt>
                <c:pt idx="6">
                  <c:v>-0.22557363530611055</c:v>
                </c:pt>
                <c:pt idx="7">
                  <c:v>-0.23183160467416777</c:v>
                </c:pt>
                <c:pt idx="8">
                  <c:v>-0.23795566862369225</c:v>
                </c:pt>
                <c:pt idx="9">
                  <c:v>-0.24394396170547997</c:v>
                </c:pt>
                <c:pt idx="10">
                  <c:v>-0.24979465982744822</c:v>
                </c:pt>
                <c:pt idx="11">
                  <c:v>-0.2555059808102722</c:v>
                </c:pt>
                <c:pt idx="12">
                  <c:v>-0.26107618493025375</c:v>
                </c:pt>
                <c:pt idx="13">
                  <c:v>-0.26650357544925796</c:v>
                </c:pt>
                <c:pt idx="14">
                  <c:v>-0.2717864991315565</c:v>
                </c:pt>
                <c:pt idx="15">
                  <c:v>-0.27692334674741903</c:v>
                </c:pt>
                <c:pt idx="16">
                  <c:v>-0.28191255356329981</c:v>
                </c:pt>
                <c:pt idx="17">
                  <c:v>-0.28675259981847134</c:v>
                </c:pt>
                <c:pt idx="18">
                  <c:v>-0.29144201118795754</c:v>
                </c:pt>
                <c:pt idx="19">
                  <c:v>-0.2959793592316281</c:v>
                </c:pt>
                <c:pt idx="20">
                  <c:v>-0.30036326182931472</c:v>
                </c:pt>
                <c:pt idx="21">
                  <c:v>-0.30459238360181817</c:v>
                </c:pt>
                <c:pt idx="22">
                  <c:v>-0.30866543631767795</c:v>
                </c:pt>
                <c:pt idx="23">
                  <c:v>-0.31258117928558049</c:v>
                </c:pt>
                <c:pt idx="24">
                  <c:v>-0.31633841973228527</c:v>
                </c:pt>
                <c:pt idx="25">
                  <c:v>-0.31993601316595455</c:v>
                </c:pt>
                <c:pt idx="26">
                  <c:v>-0.32337286372477825</c:v>
                </c:pt>
                <c:pt idx="27">
                  <c:v>-0.32664792451078228</c:v>
                </c:pt>
                <c:pt idx="28">
                  <c:v>-0.32976019790872524</c:v>
                </c:pt>
                <c:pt idx="29">
                  <c:v>-0.33270873588998062</c:v>
                </c:pt>
                <c:pt idx="30">
                  <c:v>-0.33549264030131642</c:v>
                </c:pt>
                <c:pt idx="31">
                  <c:v>-0.33811106313848049</c:v>
                </c:pt>
                <c:pt idx="32">
                  <c:v>-0.34056320680451146</c:v>
                </c:pt>
                <c:pt idx="33">
                  <c:v>-0.3428483243526943</c:v>
                </c:pt>
                <c:pt idx="34">
                  <c:v>-0.34496571971408729</c:v>
                </c:pt>
                <c:pt idx="35">
                  <c:v>-0.34691474790955168</c:v>
                </c:pt>
                <c:pt idx="36">
                  <c:v>-0.34869481524621848</c:v>
                </c:pt>
                <c:pt idx="37">
                  <c:v>-0.35030537949833318</c:v>
                </c:pt>
                <c:pt idx="38">
                  <c:v>-0.35174595007242249</c:v>
                </c:pt>
                <c:pt idx="39">
                  <c:v>-0.35301608815673458</c:v>
                </c:pt>
                <c:pt idx="40">
                  <c:v>-0.35411540685490472</c:v>
                </c:pt>
                <c:pt idx="41">
                  <c:v>-0.35504357130380826</c:v>
                </c:pt>
                <c:pt idx="42">
                  <c:v>-0.35580029877556263</c:v>
                </c:pt>
                <c:pt idx="43">
                  <c:v>-0.3563853587636493</c:v>
                </c:pt>
                <c:pt idx="44">
                  <c:v>-0.35679857305312856</c:v>
                </c:pt>
                <c:pt idx="45">
                  <c:v>-0.35703981577492461</c:v>
                </c:pt>
                <c:pt idx="46">
                  <c:v>-0.35710901344416757</c:v>
                </c:pt>
                <c:pt idx="47">
                  <c:v>-0.3570061449825771</c:v>
                </c:pt>
                <c:pt idx="48">
                  <c:v>-0.35673124172488302</c:v>
                </c:pt>
                <c:pt idx="49">
                  <c:v>-0.35628438740928081</c:v>
                </c:pt>
                <c:pt idx="50">
                  <c:v>-0.35566571815192349</c:v>
                </c:pt>
                <c:pt idx="51">
                  <c:v>-0.35487542240546044</c:v>
                </c:pt>
                <c:pt idx="52">
                  <c:v>-0.35391374090163141</c:v>
                </c:pt>
                <c:pt idx="53">
                  <c:v>-0.35278096657793878</c:v>
                </c:pt>
                <c:pt idx="54">
                  <c:v>-0.35147744448841478</c:v>
                </c:pt>
                <c:pt idx="55">
                  <c:v>-0.35000357169851548</c:v>
                </c:pt>
                <c:pt idx="56">
                  <c:v>-0.34835979716417043</c:v>
                </c:pt>
                <c:pt idx="57">
                  <c:v>-0.34654662159502625</c:v>
                </c:pt>
                <c:pt idx="58">
                  <c:v>-0.34456459730192612</c:v>
                </c:pt>
                <c:pt idx="59">
                  <c:v>-0.34241432802866989</c:v>
                </c:pt>
                <c:pt idx="60">
                  <c:v>-0.3400964687681084</c:v>
                </c:pt>
                <c:pt idx="61">
                  <c:v>-0.33761172556262586</c:v>
                </c:pt>
                <c:pt idx="62">
                  <c:v>-0.33496085528907316</c:v>
                </c:pt>
                <c:pt idx="63">
                  <c:v>-0.33214466542821486</c:v>
                </c:pt>
                <c:pt idx="64">
                  <c:v>-0.32916401381876403</c:v>
                </c:pt>
                <c:pt idx="65">
                  <c:v>-0.3260198083960747</c:v>
                </c:pt>
                <c:pt idx="66">
                  <c:v>-0.32271300691557758</c:v>
                </c:pt>
                <c:pt idx="67">
                  <c:v>-0.3192446166610371</c:v>
                </c:pt>
                <c:pt idx="68">
                  <c:v>-0.31561569413772406</c:v>
                </c:pt>
                <c:pt idx="69">
                  <c:v>-0.31182734475059304</c:v>
                </c:pt>
                <c:pt idx="70">
                  <c:v>-0.30788072246756593</c:v>
                </c:pt>
                <c:pt idx="71">
                  <c:v>-0.30377702946802188</c:v>
                </c:pt>
                <c:pt idx="72">
                  <c:v>-0.29951751577660224</c:v>
                </c:pt>
                <c:pt idx="73">
                  <c:v>-0.29510347888243993</c:v>
                </c:pt>
                <c:pt idx="74">
                  <c:v>-0.29053626334393268</c:v>
                </c:pt>
                <c:pt idx="75">
                  <c:v>-0.28581726037917721</c:v>
                </c:pt>
                <c:pt idx="76">
                  <c:v>-0.28094790744219067</c:v>
                </c:pt>
                <c:pt idx="77">
                  <c:v>-0.27592968778504789</c:v>
                </c:pt>
                <c:pt idx="78">
                  <c:v>-0.27076413000606936</c:v>
                </c:pt>
                <c:pt idx="79">
                  <c:v>-0.26545280758419421</c:v>
                </c:pt>
                <c:pt idx="80">
                  <c:v>-0.25999733839968409</c:v>
                </c:pt>
                <c:pt idx="81">
                  <c:v>-0.25439938424130093</c:v>
                </c:pt>
                <c:pt idx="82">
                  <c:v>-0.24866065030011011</c:v>
                </c:pt>
                <c:pt idx="83">
                  <c:v>-0.24278288465006229</c:v>
                </c:pt>
                <c:pt idx="84">
                  <c:v>-0.23676787771551369</c:v>
                </c:pt>
                <c:pt idx="85">
                  <c:v>-0.23061746172584544</c:v>
                </c:pt>
                <c:pt idx="86">
                  <c:v>-0.22433351015734823</c:v>
                </c:pt>
                <c:pt idx="87">
                  <c:v>-0.21791793716254396</c:v>
                </c:pt>
                <c:pt idx="88">
                  <c:v>-0.21137269698711583</c:v>
                </c:pt>
                <c:pt idx="89">
                  <c:v>-0.20469978337462633</c:v>
                </c:pt>
                <c:pt idx="90">
                  <c:v>-0.19790122895920395</c:v>
                </c:pt>
                <c:pt idx="91">
                  <c:v>-0.1909791046463826</c:v>
                </c:pt>
                <c:pt idx="92">
                  <c:v>-0.18393551898228425</c:v>
                </c:pt>
                <c:pt idx="93">
                  <c:v>-0.17677261751133463</c:v>
                </c:pt>
                <c:pt idx="94">
                  <c:v>-0.16949258212271071</c:v>
                </c:pt>
                <c:pt idx="95">
                  <c:v>-0.16209763038571504</c:v>
                </c:pt>
                <c:pt idx="96">
                  <c:v>-0.15459001487428306</c:v>
                </c:pt>
                <c:pt idx="97">
                  <c:v>-0.14697202248082777</c:v>
                </c:pt>
                <c:pt idx="98">
                  <c:v>-0.13924597371962907</c:v>
                </c:pt>
                <c:pt idx="99">
                  <c:v>-0.13141422201998357</c:v>
                </c:pt>
                <c:pt idx="100">
                  <c:v>-0.12347915300932702</c:v>
                </c:pt>
                <c:pt idx="101">
                  <c:v>-0.11544318378654864</c:v>
                </c:pt>
                <c:pt idx="102">
                  <c:v>-0.10730876218572008</c:v>
                </c:pt>
                <c:pt idx="103">
                  <c:v>-9.9078366030460524E-2</c:v>
                </c:pt>
                <c:pt idx="104">
                  <c:v>-9.075450237916885E-2</c:v>
                </c:pt>
                <c:pt idx="105">
                  <c:v>-8.2339706761348191E-2</c:v>
                </c:pt>
                <c:pt idx="106">
                  <c:v>-7.3836542405259747E-2</c:v>
                </c:pt>
                <c:pt idx="107">
                  <c:v>-6.5247599457138233E-2</c:v>
                </c:pt>
                <c:pt idx="108">
                  <c:v>-5.657549419220867E-2</c:v>
                </c:pt>
                <c:pt idx="109">
                  <c:v>-4.7822868217743425E-2</c:v>
                </c:pt>
                <c:pt idx="110">
                  <c:v>-3.8992387668402712E-2</c:v>
                </c:pt>
                <c:pt idx="111">
                  <c:v>-3.0086742394104804E-2</c:v>
                </c:pt>
                <c:pt idx="112">
                  <c:v>-2.1108645140671206E-2</c:v>
                </c:pt>
                <c:pt idx="113">
                  <c:v>-1.2060830723498006E-2</c:v>
                </c:pt>
                <c:pt idx="114">
                  <c:v>-2.9460551945047209E-3</c:v>
                </c:pt>
                <c:pt idx="115">
                  <c:v>6.2329049973853523E-3</c:v>
                </c:pt>
                <c:pt idx="116">
                  <c:v>1.5473253851979618E-2</c:v>
                </c:pt>
                <c:pt idx="117">
                  <c:v>2.4772176669503321E-2</c:v>
                </c:pt>
                <c:pt idx="118">
                  <c:v>3.4126840907985845E-2</c:v>
                </c:pt>
                <c:pt idx="119">
                  <c:v>4.3534397046079254E-2</c:v>
                </c:pt>
                <c:pt idx="120">
                  <c:v>5.2991979451050969E-2</c:v>
                </c:pt>
                <c:pt idx="121">
                  <c:v>6.2496707251682881E-2</c:v>
                </c:pt>
                <c:pt idx="122">
                  <c:v>7.2045685215812227E-2</c:v>
                </c:pt>
                <c:pt idx="123">
                  <c:v>8.1636004632248571E-2</c:v>
                </c:pt>
                <c:pt idx="124">
                  <c:v>9.1264744196793646E-2</c:v>
                </c:pt>
                <c:pt idx="125">
                  <c:v>0.10092897090210082</c:v>
                </c:pt>
                <c:pt idx="126">
                  <c:v>0.11062574093109584</c:v>
                </c:pt>
                <c:pt idx="127">
                  <c:v>0.12035210055369358</c:v>
                </c:pt>
                <c:pt idx="128">
                  <c:v>0.13010508702653112</c:v>
                </c:pt>
                <c:pt idx="129">
                  <c:v>0.13988172949544977</c:v>
                </c:pt>
                <c:pt idx="130">
                  <c:v>0.14967904990044537</c:v>
                </c:pt>
                <c:pt idx="131">
                  <c:v>0.15949406388281309</c:v>
                </c:pt>
                <c:pt idx="132">
                  <c:v>0.16932378169421444</c:v>
                </c:pt>
                <c:pt idx="133">
                  <c:v>0.17916520910738085</c:v>
                </c:pt>
                <c:pt idx="134">
                  <c:v>0.18901534832818681</c:v>
                </c:pt>
                <c:pt idx="135">
                  <c:v>0.19887119890880464</c:v>
                </c:pt>
                <c:pt idx="136">
                  <c:v>0.20872975866167218</c:v>
                </c:pt>
                <c:pt idx="137">
                  <c:v>0.21858802457398621</c:v>
                </c:pt>
                <c:pt idx="138">
                  <c:v>0.22844299372245105</c:v>
                </c:pt>
                <c:pt idx="139">
                  <c:v>0.23829166418799705</c:v>
                </c:pt>
                <c:pt idx="140">
                  <c:v>0.24813103597019345</c:v>
                </c:pt>
                <c:pt idx="141">
                  <c:v>0.2579581119010802</c:v>
                </c:pt>
                <c:pt idx="142">
                  <c:v>0.26776989855813077</c:v>
                </c:pt>
                <c:pt idx="143">
                  <c:v>0.27756340717608141</c:v>
                </c:pt>
                <c:pt idx="144">
                  <c:v>0.28733565455733434</c:v>
                </c:pt>
                <c:pt idx="145">
                  <c:v>0.29708366398067221</c:v>
                </c:pt>
                <c:pt idx="146">
                  <c:v>0.30680446610799283</c:v>
                </c:pt>
                <c:pt idx="147">
                  <c:v>0.31649509988880109</c:v>
                </c:pt>
                <c:pt idx="148">
                  <c:v>0.32615261346217239</c:v>
                </c:pt>
                <c:pt idx="149">
                  <c:v>0.33577406505591717</c:v>
                </c:pt>
                <c:pt idx="150">
                  <c:v>0.34535652388267546</c:v>
                </c:pt>
                <c:pt idx="151">
                  <c:v>0.35489707103266077</c:v>
                </c:pt>
                <c:pt idx="152">
                  <c:v>0.36439280036279031</c:v>
                </c:pt>
                <c:pt idx="153">
                  <c:v>0.37384081938192248</c:v>
                </c:pt>
                <c:pt idx="154">
                  <c:v>0.38323825013193957</c:v>
                </c:pt>
                <c:pt idx="155">
                  <c:v>0.39258223006439957</c:v>
                </c:pt>
                <c:pt idx="156">
                  <c:v>0.40186991291249818</c:v>
                </c:pt>
                <c:pt idx="157">
                  <c:v>0.41109846955806839</c:v>
                </c:pt>
                <c:pt idx="158">
                  <c:v>0.42026508889335634</c:v>
                </c:pt>
                <c:pt idx="159">
                  <c:v>0.42936697867731399</c:v>
                </c:pt>
                <c:pt idx="160">
                  <c:v>0.43840136638614063</c:v>
                </c:pt>
                <c:pt idx="161">
                  <c:v>0.44736550005782255</c:v>
                </c:pt>
                <c:pt idx="162">
                  <c:v>0.45625664913040548</c:v>
                </c:pt>
                <c:pt idx="163">
                  <c:v>0.46507210527375187</c:v>
                </c:pt>
                <c:pt idx="164">
                  <c:v>0.47380918321452259</c:v>
                </c:pt>
                <c:pt idx="165">
                  <c:v>0.48246522155413929</c:v>
                </c:pt>
                <c:pt idx="166">
                  <c:v>0.49103758357947092</c:v>
                </c:pt>
                <c:pt idx="167">
                  <c:v>0.49952365806600174</c:v>
                </c:pt>
                <c:pt idx="168">
                  <c:v>0.50792086007323745</c:v>
                </c:pt>
                <c:pt idx="169">
                  <c:v>0.51622663173210026</c:v>
                </c:pt>
                <c:pt idx="170">
                  <c:v>0.52443844302408382</c:v>
                </c:pt>
                <c:pt idx="171">
                  <c:v>0.53255379255191848</c:v>
                </c:pt>
                <c:pt idx="172">
                  <c:v>0.54057020830152325</c:v>
                </c:pt>
                <c:pt idx="173">
                  <c:v>0.54848524839500379</c:v>
                </c:pt>
                <c:pt idx="174">
                  <c:v>0.55629650183447288</c:v>
                </c:pt>
                <c:pt idx="175">
                  <c:v>0.56400158923646382</c:v>
                </c:pt>
                <c:pt idx="176">
                  <c:v>0.57159816355671278</c:v>
                </c:pt>
                <c:pt idx="177">
                  <c:v>0.57908391080509258</c:v>
                </c:pt>
                <c:pt idx="178">
                  <c:v>0.58645655075047487</c:v>
                </c:pt>
                <c:pt idx="179">
                  <c:v>0.59371383761531216</c:v>
                </c:pt>
                <c:pt idx="180">
                  <c:v>0.60085356075972229</c:v>
                </c:pt>
                <c:pt idx="181">
                  <c:v>0.6078735453548717</c:v>
                </c:pt>
                <c:pt idx="182">
                  <c:v>0.61477165304544834</c:v>
                </c:pt>
                <c:pt idx="183">
                  <c:v>0.62154578260102633</c:v>
                </c:pt>
                <c:pt idx="184">
                  <c:v>0.62819387055612064</c:v>
                </c:pt>
                <c:pt idx="185">
                  <c:v>0.63471389183873839</c:v>
                </c:pt>
                <c:pt idx="186">
                  <c:v>0.64110386038723643</c:v>
                </c:pt>
                <c:pt idx="187">
                  <c:v>0.64736182975529355</c:v>
                </c:pt>
                <c:pt idx="188">
                  <c:v>0.65348589370481813</c:v>
                </c:pt>
                <c:pt idx="189">
                  <c:v>0.65947418678660574</c:v>
                </c:pt>
                <c:pt idx="190">
                  <c:v>0.66532488490857411</c:v>
                </c:pt>
                <c:pt idx="191">
                  <c:v>0.67103620589139801</c:v>
                </c:pt>
                <c:pt idx="192">
                  <c:v>0.67660641001137967</c:v>
                </c:pt>
                <c:pt idx="193">
                  <c:v>0.68203380053038376</c:v>
                </c:pt>
                <c:pt idx="194">
                  <c:v>0.68731672421268231</c:v>
                </c:pt>
                <c:pt idx="195">
                  <c:v>0.69245357182854494</c:v>
                </c:pt>
                <c:pt idx="196">
                  <c:v>0.69744277864442561</c:v>
                </c:pt>
                <c:pt idx="197">
                  <c:v>0.70228282489959726</c:v>
                </c:pt>
                <c:pt idx="198">
                  <c:v>0.70697223626908345</c:v>
                </c:pt>
                <c:pt idx="199">
                  <c:v>0.71150958431275413</c:v>
                </c:pt>
                <c:pt idx="200">
                  <c:v>0.71589348691044064</c:v>
                </c:pt>
                <c:pt idx="201">
                  <c:v>0.72012260868294409</c:v>
                </c:pt>
                <c:pt idx="202">
                  <c:v>0.72419566139880387</c:v>
                </c:pt>
                <c:pt idx="203">
                  <c:v>0.72811140436670641</c:v>
                </c:pt>
                <c:pt idx="204">
                  <c:v>0.73186864481341118</c:v>
                </c:pt>
                <c:pt idx="205">
                  <c:v>0.73546623824708046</c:v>
                </c:pt>
                <c:pt idx="206">
                  <c:v>0.73890308880590405</c:v>
                </c:pt>
                <c:pt idx="207">
                  <c:v>0.7421781495919082</c:v>
                </c:pt>
                <c:pt idx="208">
                  <c:v>0.74529042298985115</c:v>
                </c:pt>
                <c:pt idx="209">
                  <c:v>0.74823896097110654</c:v>
                </c:pt>
                <c:pt idx="210">
                  <c:v>0.75102286538244234</c:v>
                </c:pt>
                <c:pt idx="211">
                  <c:v>0.75364128821960641</c:v>
                </c:pt>
                <c:pt idx="212">
                  <c:v>0.75609343188563738</c:v>
                </c:pt>
                <c:pt idx="213">
                  <c:v>0.75837854943382021</c:v>
                </c:pt>
                <c:pt idx="214">
                  <c:v>0.76049594479521321</c:v>
                </c:pt>
                <c:pt idx="215">
                  <c:v>0.76244497299067759</c:v>
                </c:pt>
                <c:pt idx="216">
                  <c:v>0.7642250403273444</c:v>
                </c:pt>
                <c:pt idx="217">
                  <c:v>0.76583560457945909</c:v>
                </c:pt>
                <c:pt idx="218">
                  <c:v>0.7672761751535484</c:v>
                </c:pt>
                <c:pt idx="219">
                  <c:v>0.7685463132378606</c:v>
                </c:pt>
                <c:pt idx="220">
                  <c:v>0.76964563193603064</c:v>
                </c:pt>
                <c:pt idx="221">
                  <c:v>0.77057379638493417</c:v>
                </c:pt>
                <c:pt idx="222">
                  <c:v>0.77133052385668854</c:v>
                </c:pt>
                <c:pt idx="223">
                  <c:v>0.77191558384477521</c:v>
                </c:pt>
                <c:pt idx="224">
                  <c:v>0.77232879813425448</c:v>
                </c:pt>
                <c:pt idx="225">
                  <c:v>0.77257004085605052</c:v>
                </c:pt>
                <c:pt idx="226">
                  <c:v>0.77263923852529348</c:v>
                </c:pt>
                <c:pt idx="227">
                  <c:v>0.77253637006370302</c:v>
                </c:pt>
                <c:pt idx="228">
                  <c:v>0.77226146680600893</c:v>
                </c:pt>
                <c:pt idx="229">
                  <c:v>0.77181461249040673</c:v>
                </c:pt>
                <c:pt idx="230">
                  <c:v>0.77119594323304952</c:v>
                </c:pt>
                <c:pt idx="231">
                  <c:v>0.77040564748658635</c:v>
                </c:pt>
                <c:pt idx="232">
                  <c:v>0.76944396598275733</c:v>
                </c:pt>
                <c:pt idx="233">
                  <c:v>0.7683111916590647</c:v>
                </c:pt>
                <c:pt idx="234">
                  <c:v>0.7670076695695407</c:v>
                </c:pt>
                <c:pt idx="235">
                  <c:v>0.7655337967796414</c:v>
                </c:pt>
                <c:pt idx="236">
                  <c:v>0.76389002224529623</c:v>
                </c:pt>
                <c:pt idx="237">
                  <c:v>0.76207684667615216</c:v>
                </c:pt>
                <c:pt idx="238">
                  <c:v>0.76009482238305204</c:v>
                </c:pt>
                <c:pt idx="239">
                  <c:v>0.7579445531097958</c:v>
                </c:pt>
                <c:pt idx="240">
                  <c:v>0.7556266938492342</c:v>
                </c:pt>
                <c:pt idx="241">
                  <c:v>0.75314195064375178</c:v>
                </c:pt>
                <c:pt idx="242">
                  <c:v>0.75049108037019907</c:v>
                </c:pt>
                <c:pt idx="243">
                  <c:v>0.74767489050934077</c:v>
                </c:pt>
                <c:pt idx="244">
                  <c:v>0.74469423889988995</c:v>
                </c:pt>
                <c:pt idx="245">
                  <c:v>0.7415500334772005</c:v>
                </c:pt>
                <c:pt idx="246">
                  <c:v>0.7382432319967035</c:v>
                </c:pt>
                <c:pt idx="247">
                  <c:v>0.73477484174216312</c:v>
                </c:pt>
                <c:pt idx="248">
                  <c:v>0.73114591921884997</c:v>
                </c:pt>
                <c:pt idx="249">
                  <c:v>0.72735756983171906</c:v>
                </c:pt>
                <c:pt idx="250">
                  <c:v>0.72341094754869173</c:v>
                </c:pt>
                <c:pt idx="251">
                  <c:v>0.7193072545491479</c:v>
                </c:pt>
                <c:pt idx="252">
                  <c:v>0.71504774085772815</c:v>
                </c:pt>
                <c:pt idx="253">
                  <c:v>0.71063370396356584</c:v>
                </c:pt>
                <c:pt idx="254">
                  <c:v>0.70606648842505848</c:v>
                </c:pt>
                <c:pt idx="255">
                  <c:v>0.70134748546030301</c:v>
                </c:pt>
                <c:pt idx="256">
                  <c:v>0.69647813252331658</c:v>
                </c:pt>
                <c:pt idx="257">
                  <c:v>0.69145991286617392</c:v>
                </c:pt>
                <c:pt idx="258">
                  <c:v>0.68629435508719538</c:v>
                </c:pt>
                <c:pt idx="259">
                  <c:v>0.6809830326653199</c:v>
                </c:pt>
                <c:pt idx="260">
                  <c:v>0.67552756348080989</c:v>
                </c:pt>
                <c:pt idx="261">
                  <c:v>0.66992960932242684</c:v>
                </c:pt>
                <c:pt idx="262">
                  <c:v>0.664190875381236</c:v>
                </c:pt>
                <c:pt idx="263">
                  <c:v>0.65831310973118806</c:v>
                </c:pt>
                <c:pt idx="264">
                  <c:v>0.65229810279663958</c:v>
                </c:pt>
                <c:pt idx="265">
                  <c:v>0.64614768680697132</c:v>
                </c:pt>
                <c:pt idx="266">
                  <c:v>0.63986373523847417</c:v>
                </c:pt>
                <c:pt idx="267">
                  <c:v>0.63344816224366995</c:v>
                </c:pt>
                <c:pt idx="268">
                  <c:v>0.62690292206824161</c:v>
                </c:pt>
                <c:pt idx="269">
                  <c:v>0.62023000845575216</c:v>
                </c:pt>
                <c:pt idx="270">
                  <c:v>0.61343145404032984</c:v>
                </c:pt>
                <c:pt idx="271">
                  <c:v>0.60650932972750859</c:v>
                </c:pt>
                <c:pt idx="272">
                  <c:v>0.59946574406341002</c:v>
                </c:pt>
                <c:pt idx="273">
                  <c:v>0.59230284259246047</c:v>
                </c:pt>
                <c:pt idx="274">
                  <c:v>0.5850228072038367</c:v>
                </c:pt>
                <c:pt idx="275">
                  <c:v>0.57762785546684103</c:v>
                </c:pt>
                <c:pt idx="276">
                  <c:v>0.57012023995540928</c:v>
                </c:pt>
                <c:pt idx="277">
                  <c:v>0.56250224756195355</c:v>
                </c:pt>
                <c:pt idx="278">
                  <c:v>0.5547761988007549</c:v>
                </c:pt>
                <c:pt idx="279">
                  <c:v>0.54694444710110957</c:v>
                </c:pt>
                <c:pt idx="280">
                  <c:v>0.53900937809045302</c:v>
                </c:pt>
                <c:pt idx="281">
                  <c:v>0.53097340886767441</c:v>
                </c:pt>
                <c:pt idx="282">
                  <c:v>0.52283898726684574</c:v>
                </c:pt>
                <c:pt idx="283">
                  <c:v>0.51460859111158641</c:v>
                </c:pt>
                <c:pt idx="284">
                  <c:v>0.50628472746029496</c:v>
                </c:pt>
                <c:pt idx="285">
                  <c:v>0.4978699318424743</c:v>
                </c:pt>
                <c:pt idx="286">
                  <c:v>0.48936676748638541</c:v>
                </c:pt>
                <c:pt idx="287">
                  <c:v>0.48077782453826401</c:v>
                </c:pt>
                <c:pt idx="288">
                  <c:v>0.47210571927333456</c:v>
                </c:pt>
                <c:pt idx="289">
                  <c:v>0.46335309329886942</c:v>
                </c:pt>
                <c:pt idx="290">
                  <c:v>0.45452261274952843</c:v>
                </c:pt>
                <c:pt idx="291">
                  <c:v>0.44561696747523061</c:v>
                </c:pt>
                <c:pt idx="292">
                  <c:v>0.43663887022179715</c:v>
                </c:pt>
                <c:pt idx="293">
                  <c:v>0.42759105580462403</c:v>
                </c:pt>
                <c:pt idx="294">
                  <c:v>0.41847628027563094</c:v>
                </c:pt>
                <c:pt idx="295">
                  <c:v>0.40929732008374042</c:v>
                </c:pt>
                <c:pt idx="296">
                  <c:v>0.40005697122914641</c:v>
                </c:pt>
                <c:pt idx="297">
                  <c:v>0.39075804841162254</c:v>
                </c:pt>
                <c:pt idx="298">
                  <c:v>0.38140338417314024</c:v>
                </c:pt>
                <c:pt idx="299">
                  <c:v>0.37199582803504638</c:v>
                </c:pt>
                <c:pt idx="300">
                  <c:v>0.36253824563007475</c:v>
                </c:pt>
                <c:pt idx="301">
                  <c:v>0.35303351782944303</c:v>
                </c:pt>
                <c:pt idx="302">
                  <c:v>0.34348453986531369</c:v>
                </c:pt>
                <c:pt idx="303">
                  <c:v>0.33389422044887757</c:v>
                </c:pt>
                <c:pt idx="304">
                  <c:v>0.32426548088433205</c:v>
                </c:pt>
                <c:pt idx="305">
                  <c:v>0.31460125417902507</c:v>
                </c:pt>
                <c:pt idx="306">
                  <c:v>0.30490448415003008</c:v>
                </c:pt>
                <c:pt idx="307">
                  <c:v>0.29517812452743264</c:v>
                </c:pt>
                <c:pt idx="308">
                  <c:v>0.28542513805459457</c:v>
                </c:pt>
                <c:pt idx="309">
                  <c:v>0.27564849558567589</c:v>
                </c:pt>
                <c:pt idx="310">
                  <c:v>0.26585117518068069</c:v>
                </c:pt>
                <c:pt idx="311">
                  <c:v>0.25603616119831285</c:v>
                </c:pt>
                <c:pt idx="312">
                  <c:v>0.24620644338691169</c:v>
                </c:pt>
                <c:pt idx="313">
                  <c:v>0.23636501597374479</c:v>
                </c:pt>
                <c:pt idx="314">
                  <c:v>0.22651487675293916</c:v>
                </c:pt>
                <c:pt idx="315">
                  <c:v>0.21665902617232133</c:v>
                </c:pt>
                <c:pt idx="316">
                  <c:v>0.20680046641945396</c:v>
                </c:pt>
                <c:pt idx="317">
                  <c:v>0.19694220050713937</c:v>
                </c:pt>
                <c:pt idx="318">
                  <c:v>0.18708723135867464</c:v>
                </c:pt>
                <c:pt idx="319">
                  <c:v>0.17723856089312898</c:v>
                </c:pt>
                <c:pt idx="320">
                  <c:v>0.16739918911093241</c:v>
                </c:pt>
                <c:pt idx="321">
                  <c:v>0.15757211318004602</c:v>
                </c:pt>
                <c:pt idx="322">
                  <c:v>0.14776032652299495</c:v>
                </c:pt>
                <c:pt idx="323">
                  <c:v>0.13796681790504464</c:v>
                </c:pt>
                <c:pt idx="324">
                  <c:v>0.12819457052379157</c:v>
                </c:pt>
                <c:pt idx="325">
                  <c:v>0.11844656110045401</c:v>
                </c:pt>
                <c:pt idx="326">
                  <c:v>0.1087257589731328</c:v>
                </c:pt>
                <c:pt idx="327">
                  <c:v>9.9035125192324519E-2</c:v>
                </c:pt>
                <c:pt idx="328">
                  <c:v>8.9377611618953551E-2</c:v>
                </c:pt>
                <c:pt idx="329">
                  <c:v>7.97561600252088E-2</c:v>
                </c:pt>
                <c:pt idx="330">
                  <c:v>7.0173701198450733E-2</c:v>
                </c:pt>
                <c:pt idx="331">
                  <c:v>6.0633154048464977E-2</c:v>
                </c:pt>
                <c:pt idx="332">
                  <c:v>5.11374247183356E-2</c:v>
                </c:pt>
                <c:pt idx="333">
                  <c:v>4.1689405699203375E-2</c:v>
                </c:pt>
                <c:pt idx="334">
                  <c:v>3.2291974949186647E-2</c:v>
                </c:pt>
                <c:pt idx="335">
                  <c:v>2.2947995016726119E-2</c:v>
                </c:pt>
                <c:pt idx="336">
                  <c:v>1.3660312168627425E-2</c:v>
                </c:pt>
                <c:pt idx="337">
                  <c:v>4.4317555230574956E-3</c:v>
                </c:pt>
                <c:pt idx="338">
                  <c:v>-4.7348638122303999E-3</c:v>
                </c:pt>
                <c:pt idx="339">
                  <c:v>-1.3836753596187801E-2</c:v>
                </c:pt>
                <c:pt idx="340">
                  <c:v>-2.2871141305014941E-2</c:v>
                </c:pt>
                <c:pt idx="341">
                  <c:v>-3.1835274976696665E-2</c:v>
                </c:pt>
                <c:pt idx="342">
                  <c:v>-4.0726424049279564E-2</c:v>
                </c:pt>
                <c:pt idx="343">
                  <c:v>-4.9541880192625648E-2</c:v>
                </c:pt>
                <c:pt idx="344">
                  <c:v>-5.8278958133396813E-2</c:v>
                </c:pt>
                <c:pt idx="345">
                  <c:v>-6.6934996473013569E-2</c:v>
                </c:pt>
                <c:pt idx="346">
                  <c:v>-7.5507358498344973E-2</c:v>
                </c:pt>
                <c:pt idx="347">
                  <c:v>-8.3993432984875854E-2</c:v>
                </c:pt>
                <c:pt idx="348">
                  <c:v>-9.2390634992111281E-2</c:v>
                </c:pt>
                <c:pt idx="349">
                  <c:v>-0.10069640665097454</c:v>
                </c:pt>
                <c:pt idx="350">
                  <c:v>-0.10890821794295794</c:v>
                </c:pt>
                <c:pt idx="351">
                  <c:v>-0.11702356747079254</c:v>
                </c:pt>
                <c:pt idx="352">
                  <c:v>-0.12503998322039719</c:v>
                </c:pt>
                <c:pt idx="353">
                  <c:v>-0.13295502331387801</c:v>
                </c:pt>
                <c:pt idx="354">
                  <c:v>-0.1407662767533471</c:v>
                </c:pt>
                <c:pt idx="355">
                  <c:v>-0.14847136415533788</c:v>
                </c:pt>
                <c:pt idx="356">
                  <c:v>-0.15606793847558689</c:v>
                </c:pt>
                <c:pt idx="357">
                  <c:v>-0.16355368572396647</c:v>
                </c:pt>
                <c:pt idx="358">
                  <c:v>-0.17092632566934909</c:v>
                </c:pt>
                <c:pt idx="359">
                  <c:v>-0.17818361253418621</c:v>
                </c:pt>
                <c:pt idx="360">
                  <c:v>-0.18532333567859635</c:v>
                </c:pt>
              </c:numCache>
            </c:numRef>
          </c:xVal>
          <c:yVal>
            <c:numRef>
              <c:f>Tabelle3!$I$17:$I$377</c:f>
              <c:numCache>
                <c:formatCode>0.0</c:formatCode>
                <c:ptCount val="361"/>
                <c:pt idx="0">
                  <c:v>-0.18136083163946476</c:v>
                </c:pt>
                <c:pt idx="1">
                  <c:v>-0.1740677027709</c:v>
                </c:pt>
                <c:pt idx="2">
                  <c:v>-0.16665961710905691</c:v>
                </c:pt>
                <c:pt idx="3">
                  <c:v>-0.15913883122859196</c:v>
                </c:pt>
                <c:pt idx="4">
                  <c:v>-0.15150763603373973</c:v>
                </c:pt>
                <c:pt idx="5">
                  <c:v>-0.14376835606048172</c:v>
                </c:pt>
                <c:pt idx="6">
                  <c:v>-0.13592334876846979</c:v>
                </c:pt>
                <c:pt idx="7">
                  <c:v>-0.12797500382292143</c:v>
                </c:pt>
                <c:pt idx="8">
                  <c:v>-0.11992574236670439</c:v>
                </c:pt>
                <c:pt idx="9">
                  <c:v>-0.11177801628283313</c:v>
                </c:pt>
                <c:pt idx="10">
                  <c:v>-0.10353430744760167</c:v>
                </c:pt>
                <c:pt idx="11">
                  <c:v>-9.5197126974579771E-2</c:v>
                </c:pt>
                <c:pt idx="12">
                  <c:v>-8.6769014449703641E-2</c:v>
                </c:pt>
                <c:pt idx="13">
                  <c:v>-7.8252537157693258E-2</c:v>
                </c:pt>
                <c:pt idx="14">
                  <c:v>-6.9650289300032753E-2</c:v>
                </c:pt>
                <c:pt idx="15">
                  <c:v>-6.0964891204751459E-2</c:v>
                </c:pt>
                <c:pt idx="16">
                  <c:v>-5.2198988528246559E-2</c:v>
                </c:pt>
                <c:pt idx="17">
                  <c:v>-4.3355251449390286E-2</c:v>
                </c:pt>
                <c:pt idx="18">
                  <c:v>-3.4436373856168406E-2</c:v>
                </c:pt>
                <c:pt idx="19">
                  <c:v>-2.5445072525094703E-2</c:v>
                </c:pt>
                <c:pt idx="20">
                  <c:v>-1.6384086293655453E-2</c:v>
                </c:pt>
                <c:pt idx="21">
                  <c:v>-7.2561752260323631E-3</c:v>
                </c:pt>
                <c:pt idx="22">
                  <c:v>1.9358802276392695E-3</c:v>
                </c:pt>
                <c:pt idx="23">
                  <c:v>1.1189280078222757E-2</c:v>
                </c:pt>
                <c:pt idx="24">
                  <c:v>2.0501205650483995E-2</c:v>
                </c:pt>
                <c:pt idx="25">
                  <c:v>2.9868820441686983E-2</c:v>
                </c:pt>
                <c:pt idx="26">
                  <c:v>3.9289270985620156E-2</c:v>
                </c:pt>
                <c:pt idx="27">
                  <c:v>4.8759687721789902E-2</c:v>
                </c:pt>
                <c:pt idx="28">
                  <c:v>5.8277185869516496E-2</c:v>
                </c:pt>
                <c:pt idx="29">
                  <c:v>6.7838866306666024E-2</c:v>
                </c:pt>
                <c:pt idx="30">
                  <c:v>7.7441816452751056E-2</c:v>
                </c:pt>
                <c:pt idx="31">
                  <c:v>8.7083111156131571E-2</c:v>
                </c:pt>
                <c:pt idx="32">
                  <c:v>9.6759813585043319E-2</c:v>
                </c:pt>
                <c:pt idx="33">
                  <c:v>0.10646897612218623</c:v>
                </c:pt>
                <c:pt idx="34">
                  <c:v>0.11620764126259678</c:v>
                </c:pt>
                <c:pt idx="35">
                  <c:v>0.12597284251453245</c:v>
                </c:pt>
                <c:pt idx="36">
                  <c:v>0.13576160530309447</c:v>
                </c:pt>
                <c:pt idx="37">
                  <c:v>0.1455709478763115</c:v>
                </c:pt>
                <c:pt idx="38">
                  <c:v>0.1553978822134105</c:v>
                </c:pt>
                <c:pt idx="39">
                  <c:v>0.16523941493499661</c:v>
                </c:pt>
                <c:pt idx="40">
                  <c:v>0.17509254821486603</c:v>
                </c:pt>
                <c:pt idx="41">
                  <c:v>0.1849542806931721</c:v>
                </c:pt>
                <c:pt idx="42">
                  <c:v>0.1948216083906692</c:v>
                </c:pt>
                <c:pt idx="43">
                  <c:v>0.20469152562375376</c:v>
                </c:pt>
                <c:pt idx="44">
                  <c:v>0.21456102592002446</c:v>
                </c:pt>
                <c:pt idx="45">
                  <c:v>0.22442710293408319</c:v>
                </c:pt>
                <c:pt idx="46">
                  <c:v>0.23428675136329652</c:v>
                </c:pt>
                <c:pt idx="47">
                  <c:v>0.24413696786324041</c:v>
                </c:pt>
                <c:pt idx="48">
                  <c:v>0.25397475196254776</c:v>
                </c:pt>
                <c:pt idx="49">
                  <c:v>0.26379710697688125</c:v>
                </c:pt>
                <c:pt idx="50">
                  <c:v>0.27360104092175197</c:v>
                </c:pt>
                <c:pt idx="51">
                  <c:v>0.2833835674239078</c:v>
                </c:pt>
                <c:pt idx="52">
                  <c:v>0.29314170663101058</c:v>
                </c:pt>
                <c:pt idx="53">
                  <c:v>0.30287248611932849</c:v>
                </c:pt>
                <c:pt idx="54">
                  <c:v>0.3125729417991655</c:v>
                </c:pt>
                <c:pt idx="55">
                  <c:v>0.32224011881775083</c:v>
                </c:pt>
                <c:pt idx="56">
                  <c:v>0.33187107245931668</c:v>
                </c:pt>
                <c:pt idx="57">
                  <c:v>0.34146286904208673</c:v>
                </c:pt>
                <c:pt idx="58">
                  <c:v>0.35101258681190395</c:v>
                </c:pt>
                <c:pt idx="59">
                  <c:v>0.36051731683222554</c:v>
                </c:pt>
                <c:pt idx="60">
                  <c:v>0.36997416387021276</c:v>
                </c:pt>
                <c:pt idx="61">
                  <c:v>0.37938024727864761</c:v>
                </c:pt>
                <c:pt idx="62">
                  <c:v>0.38873270187340486</c:v>
                </c:pt>
                <c:pt idx="63">
                  <c:v>0.39802867880621579</c:v>
                </c:pt>
                <c:pt idx="64">
                  <c:v>0.40726534643245449</c:v>
                </c:pt>
                <c:pt idx="65">
                  <c:v>0.41643989117368435</c:v>
                </c:pt>
                <c:pt idx="66">
                  <c:v>0.4255495183747014</c:v>
                </c:pt>
                <c:pt idx="67">
                  <c:v>0.4345914531548134</c:v>
                </c:pt>
                <c:pt idx="68">
                  <c:v>0.44356294125309503</c:v>
                </c:pt>
                <c:pt idx="69">
                  <c:v>0.45246124986736258</c:v>
                </c:pt>
                <c:pt idx="70">
                  <c:v>0.46128366848661273</c:v>
                </c:pt>
                <c:pt idx="71">
                  <c:v>0.47002750971666896</c:v>
                </c:pt>
                <c:pt idx="72">
                  <c:v>0.47869011009878948</c:v>
                </c:pt>
                <c:pt idx="73">
                  <c:v>0.48726883092098117</c:v>
                </c:pt>
                <c:pt idx="74">
                  <c:v>0.49576105902177775</c:v>
                </c:pt>
                <c:pt idx="75">
                  <c:v>0.50416420758623348</c:v>
                </c:pt>
                <c:pt idx="76">
                  <c:v>0.51247571693389271</c:v>
                </c:pt>
                <c:pt idx="77">
                  <c:v>0.52069305529849264</c:v>
                </c:pt>
                <c:pt idx="78">
                  <c:v>0.52881371959916423</c:v>
                </c:pt>
                <c:pt idx="79">
                  <c:v>0.53683523620289497</c:v>
                </c:pt>
                <c:pt idx="80">
                  <c:v>0.54475516167802107</c:v>
                </c:pt>
                <c:pt idx="81">
                  <c:v>0.55257108353852091</c:v>
                </c:pt>
                <c:pt idx="82">
                  <c:v>0.56028062097888121</c:v>
                </c:pt>
                <c:pt idx="83">
                  <c:v>0.56788142559931354</c:v>
                </c:pt>
                <c:pt idx="84">
                  <c:v>0.57537118212109983</c:v>
                </c:pt>
                <c:pt idx="85">
                  <c:v>0.58274760909184897</c:v>
                </c:pt>
                <c:pt idx="86">
                  <c:v>0.59000845958044834</c:v>
                </c:pt>
                <c:pt idx="87">
                  <c:v>0.59715152186150167</c:v>
                </c:pt>
                <c:pt idx="88">
                  <c:v>0.60417462008904199</c:v>
                </c:pt>
                <c:pt idx="89">
                  <c:v>0.61107561495931462</c:v>
                </c:pt>
                <c:pt idx="90">
                  <c:v>0.61785240436243083</c:v>
                </c:pt>
                <c:pt idx="91">
                  <c:v>0.62450292402269003</c:v>
                </c:pt>
                <c:pt idx="92">
                  <c:v>0.63102514812737898</c:v>
                </c:pt>
                <c:pt idx="93">
                  <c:v>0.63741708994385271</c:v>
                </c:pt>
                <c:pt idx="94">
                  <c:v>0.64367680242471426</c:v>
                </c:pt>
                <c:pt idx="95">
                  <c:v>0.64980237880090252</c:v>
                </c:pt>
                <c:pt idx="96">
                  <c:v>0.6557919531625136</c:v>
                </c:pt>
                <c:pt idx="97">
                  <c:v>0.66164370102717451</c:v>
                </c:pt>
                <c:pt idx="98">
                  <c:v>0.66735583989579883</c:v>
                </c:pt>
                <c:pt idx="99">
                  <c:v>0.67292662979555207</c:v>
                </c:pt>
                <c:pt idx="100">
                  <c:v>0.67835437380986541</c:v>
                </c:pt>
                <c:pt idx="101">
                  <c:v>0.68363741859533245</c:v>
                </c:pt>
                <c:pt idx="102">
                  <c:v>0.68877415488533367</c:v>
                </c:pt>
                <c:pt idx="103">
                  <c:v>0.6937630179802341</c:v>
                </c:pt>
                <c:pt idx="104">
                  <c:v>0.69860248822400717</c:v>
                </c:pt>
                <c:pt idx="105">
                  <c:v>0.70329109146713531</c:v>
                </c:pt>
                <c:pt idx="106">
                  <c:v>0.70782739951565132</c:v>
                </c:pt>
                <c:pt idx="107">
                  <c:v>0.71221003056617949</c:v>
                </c:pt>
                <c:pt idx="108">
                  <c:v>0.71643764962684608</c:v>
                </c:pt>
                <c:pt idx="109">
                  <c:v>0.72050896892393179</c:v>
                </c:pt>
                <c:pt idx="110">
                  <c:v>0.72442274829413855</c:v>
                </c:pt>
                <c:pt idx="111">
                  <c:v>0.72817779556235662</c:v>
                </c:pt>
                <c:pt idx="112">
                  <c:v>0.73177296690481242</c:v>
                </c:pt>
                <c:pt idx="113">
                  <c:v>0.73520716719748735</c:v>
                </c:pt>
                <c:pt idx="114">
                  <c:v>0.73847935034970491</c:v>
                </c:pt>
                <c:pt idx="115">
                  <c:v>0.74158851962277827</c:v>
                </c:pt>
                <c:pt idx="116">
                  <c:v>0.74453372793362793</c:v>
                </c:pt>
                <c:pt idx="117">
                  <c:v>0.74731407814327111</c:v>
                </c:pt>
                <c:pt idx="118">
                  <c:v>0.74992872333010063</c:v>
                </c:pt>
                <c:pt idx="119">
                  <c:v>0.75237686704786344</c:v>
                </c:pt>
                <c:pt idx="120">
                  <c:v>0.75465776356826764</c:v>
                </c:pt>
                <c:pt idx="121">
                  <c:v>0.75677071810813767</c:v>
                </c:pt>
                <c:pt idx="122">
                  <c:v>0.75871508704105184</c:v>
                </c:pt>
                <c:pt idx="123">
                  <c:v>0.76049027809339775</c:v>
                </c:pt>
                <c:pt idx="124">
                  <c:v>0.76209575052478429</c:v>
                </c:pt>
                <c:pt idx="125">
                  <c:v>0.76353101529275613</c:v>
                </c:pt>
                <c:pt idx="126">
                  <c:v>0.7647956352017613</c:v>
                </c:pt>
                <c:pt idx="127">
                  <c:v>0.76588922503632484</c:v>
                </c:pt>
                <c:pt idx="128">
                  <c:v>0.76681145167838938</c:v>
                </c:pt>
                <c:pt idx="129">
                  <c:v>0.76756203420878588</c:v>
                </c:pt>
                <c:pt idx="130">
                  <c:v>0.76814074399280452</c:v>
                </c:pt>
                <c:pt idx="131">
                  <c:v>0.76854740474983896</c:v>
                </c:pt>
                <c:pt idx="132">
                  <c:v>0.76878189260708329</c:v>
                </c:pt>
                <c:pt idx="133">
                  <c:v>0.76884413613726443</c:v>
                </c:pt>
                <c:pt idx="134">
                  <c:v>0.76873411638040057</c:v>
                </c:pt>
                <c:pt idx="135">
                  <c:v>0.768451866849575</c:v>
                </c:pt>
                <c:pt idx="136">
                  <c:v>0.76799747352072922</c:v>
                </c:pt>
                <c:pt idx="137">
                  <c:v>0.76737107480647304</c:v>
                </c:pt>
                <c:pt idx="138">
                  <c:v>0.76657286151392268</c:v>
                </c:pt>
                <c:pt idx="139">
                  <c:v>0.76560307678657979</c:v>
                </c:pt>
                <c:pt idx="140">
                  <c:v>0.76446201603026664</c:v>
                </c:pt>
                <c:pt idx="141">
                  <c:v>0.76315002682314337</c:v>
                </c:pt>
                <c:pt idx="142">
                  <c:v>0.76166750880983192</c:v>
                </c:pt>
                <c:pt idx="143">
                  <c:v>0.76001491357968076</c:v>
                </c:pt>
                <c:pt idx="144">
                  <c:v>0.75819274452920604</c:v>
                </c:pt>
                <c:pt idx="145">
                  <c:v>0.756201556708752</c:v>
                </c:pt>
                <c:pt idx="146">
                  <c:v>0.75404195665341822</c:v>
                </c:pt>
                <c:pt idx="147">
                  <c:v>0.75171460219830188</c:v>
                </c:pt>
                <c:pt idx="148">
                  <c:v>0.74922020227811537</c:v>
                </c:pt>
                <c:pt idx="149">
                  <c:v>0.74655951671123877</c:v>
                </c:pt>
                <c:pt idx="150">
                  <c:v>0.74373335596826973</c:v>
                </c:pt>
                <c:pt idx="151">
                  <c:v>0.74074258092514866</c:v>
                </c:pt>
                <c:pt idx="152">
                  <c:v>0.73758810260092567</c:v>
                </c:pt>
                <c:pt idx="153">
                  <c:v>0.73427088188025669</c:v>
                </c:pt>
                <c:pt idx="154">
                  <c:v>0.73079192922070768</c:v>
                </c:pt>
                <c:pt idx="155">
                  <c:v>0.72715230434496014</c:v>
                </c:pt>
                <c:pt idx="156">
                  <c:v>0.72335311591800933</c:v>
                </c:pt>
                <c:pt idx="157">
                  <c:v>0.71939552120945316</c:v>
                </c:pt>
                <c:pt idx="158">
                  <c:v>0.71528072574097834</c:v>
                </c:pt>
                <c:pt idx="159">
                  <c:v>0.71100998291914541</c:v>
                </c:pt>
                <c:pt idx="160">
                  <c:v>0.7065845936535895</c:v>
                </c:pt>
                <c:pt idx="161">
                  <c:v>0.70200590596075041</c:v>
                </c:pt>
                <c:pt idx="162">
                  <c:v>0.69727531455325442</c:v>
                </c:pt>
                <c:pt idx="163">
                  <c:v>0.69239426041507035</c:v>
                </c:pt>
                <c:pt idx="164">
                  <c:v>0.68736423036257266</c:v>
                </c:pt>
                <c:pt idx="165">
                  <c:v>0.68218675659164218</c:v>
                </c:pt>
                <c:pt idx="166">
                  <c:v>0.67686341621094481</c:v>
                </c:pt>
                <c:pt idx="167">
                  <c:v>0.67139583076152909</c:v>
                </c:pt>
                <c:pt idx="168">
                  <c:v>0.66578566572288855</c:v>
                </c:pt>
                <c:pt idx="169">
                  <c:v>0.66003463000564067</c:v>
                </c:pt>
                <c:pt idx="170">
                  <c:v>0.65414447543097642</c:v>
                </c:pt>
                <c:pt idx="171">
                  <c:v>0.64811699619703889</c:v>
                </c:pt>
                <c:pt idx="172">
                  <c:v>0.64195402833239168</c:v>
                </c:pt>
                <c:pt idx="173">
                  <c:v>0.63565744913674893</c:v>
                </c:pt>
                <c:pt idx="174">
                  <c:v>0.62922917660912958</c:v>
                </c:pt>
                <c:pt idx="175">
                  <c:v>0.62267116886361751</c:v>
                </c:pt>
                <c:pt idx="176">
                  <c:v>0.61598542353290131</c:v>
                </c:pt>
                <c:pt idx="177">
                  <c:v>0.6091739771597745</c:v>
                </c:pt>
                <c:pt idx="178">
                  <c:v>0.60223890457678675</c:v>
                </c:pt>
                <c:pt idx="179">
                  <c:v>0.59518231827422796</c:v>
                </c:pt>
                <c:pt idx="180">
                  <c:v>0.58800636775664494</c:v>
                </c:pt>
                <c:pt idx="181">
                  <c:v>0.58071323888808002</c:v>
                </c:pt>
                <c:pt idx="182">
                  <c:v>0.5733051532262371</c:v>
                </c:pt>
                <c:pt idx="183">
                  <c:v>0.5657843673457722</c:v>
                </c:pt>
                <c:pt idx="184">
                  <c:v>0.55815317215091986</c:v>
                </c:pt>
                <c:pt idx="185">
                  <c:v>0.55041389217766201</c:v>
                </c:pt>
                <c:pt idx="186">
                  <c:v>0.54256888488564992</c:v>
                </c:pt>
                <c:pt idx="187">
                  <c:v>0.53462053994010161</c:v>
                </c:pt>
                <c:pt idx="188">
                  <c:v>0.52657127848388452</c:v>
                </c:pt>
                <c:pt idx="189">
                  <c:v>0.51842355240001337</c:v>
                </c:pt>
                <c:pt idx="190">
                  <c:v>0.51017984356478174</c:v>
                </c:pt>
                <c:pt idx="191">
                  <c:v>0.50184266309175996</c:v>
                </c:pt>
                <c:pt idx="192">
                  <c:v>0.49341455056688366</c:v>
                </c:pt>
                <c:pt idx="193">
                  <c:v>0.48489807327487339</c:v>
                </c:pt>
                <c:pt idx="194">
                  <c:v>0.47629582541721299</c:v>
                </c:pt>
                <c:pt idx="195">
                  <c:v>0.46761042732193159</c:v>
                </c:pt>
                <c:pt idx="196">
                  <c:v>0.45884452464542674</c:v>
                </c:pt>
                <c:pt idx="197">
                  <c:v>0.45000078756657041</c:v>
                </c:pt>
                <c:pt idx="198">
                  <c:v>0.44108190997334862</c:v>
                </c:pt>
                <c:pt idx="199">
                  <c:v>0.43209060864227478</c:v>
                </c:pt>
                <c:pt idx="200">
                  <c:v>0.42302962241083564</c:v>
                </c:pt>
                <c:pt idx="201">
                  <c:v>0.41390171134321241</c:v>
                </c:pt>
                <c:pt idx="202">
                  <c:v>0.40470965588954089</c:v>
                </c:pt>
                <c:pt idx="203">
                  <c:v>0.3954562560389574</c:v>
                </c:pt>
                <c:pt idx="204">
                  <c:v>0.38614433046669616</c:v>
                </c:pt>
                <c:pt idx="205">
                  <c:v>0.3767767156754932</c:v>
                </c:pt>
                <c:pt idx="206">
                  <c:v>0.36735626513155994</c:v>
                </c:pt>
                <c:pt idx="207">
                  <c:v>0.35788584839539023</c:v>
                </c:pt>
                <c:pt idx="208">
                  <c:v>0.34836835024766355</c:v>
                </c:pt>
                <c:pt idx="209">
                  <c:v>0.33880666981051422</c:v>
                </c:pt>
                <c:pt idx="210">
                  <c:v>0.32920371966442896</c:v>
                </c:pt>
                <c:pt idx="211">
                  <c:v>0.31956242496104859</c:v>
                </c:pt>
                <c:pt idx="212">
                  <c:v>0.30988572253213692</c:v>
                </c:pt>
                <c:pt idx="213">
                  <c:v>0.30017655999499393</c:v>
                </c:pt>
                <c:pt idx="214">
                  <c:v>0.29043789485458349</c:v>
                </c:pt>
                <c:pt idx="215">
                  <c:v>0.28067269360264757</c:v>
                </c:pt>
                <c:pt idx="216">
                  <c:v>0.27088393081408574</c:v>
                </c:pt>
                <c:pt idx="217">
                  <c:v>0.26107458824086854</c:v>
                </c:pt>
                <c:pt idx="218">
                  <c:v>0.25124765390376974</c:v>
                </c:pt>
                <c:pt idx="219">
                  <c:v>0.24140612118218335</c:v>
                </c:pt>
                <c:pt idx="220">
                  <c:v>0.2315529879023141</c:v>
                </c:pt>
                <c:pt idx="221">
                  <c:v>0.22169125542400814</c:v>
                </c:pt>
                <c:pt idx="222">
                  <c:v>0.21182392772651093</c:v>
                </c:pt>
                <c:pt idx="223">
                  <c:v>0.20195401049342637</c:v>
                </c:pt>
                <c:pt idx="224">
                  <c:v>0.19208451019715556</c:v>
                </c:pt>
                <c:pt idx="225">
                  <c:v>0.18221843318309699</c:v>
                </c:pt>
                <c:pt idx="226">
                  <c:v>0.17235878475388355</c:v>
                </c:pt>
                <c:pt idx="227">
                  <c:v>0.16250856825393978</c:v>
                </c:pt>
                <c:pt idx="228">
                  <c:v>0.15267078415463226</c:v>
                </c:pt>
                <c:pt idx="229">
                  <c:v>0.14284842914029888</c:v>
                </c:pt>
                <c:pt idx="230">
                  <c:v>0.13304449519542821</c:v>
                </c:pt>
                <c:pt idx="231">
                  <c:v>0.12326196869327252</c:v>
                </c:pt>
                <c:pt idx="232">
                  <c:v>0.11350382948616941</c:v>
                </c:pt>
                <c:pt idx="233">
                  <c:v>0.10377304999785156</c:v>
                </c:pt>
                <c:pt idx="234">
                  <c:v>9.4072594318014735E-2</c:v>
                </c:pt>
                <c:pt idx="235">
                  <c:v>8.4405417299429436E-2</c:v>
                </c:pt>
                <c:pt idx="236">
                  <c:v>7.4774463657863277E-2</c:v>
                </c:pt>
                <c:pt idx="237">
                  <c:v>6.5182667075093376E-2</c:v>
                </c:pt>
                <c:pt idx="238">
                  <c:v>5.5632949305276208E-2</c:v>
                </c:pt>
                <c:pt idx="239">
                  <c:v>4.6128219284954808E-2</c:v>
                </c:pt>
                <c:pt idx="240">
                  <c:v>3.6671372246967621E-2</c:v>
                </c:pt>
                <c:pt idx="241">
                  <c:v>2.7265288838532381E-2</c:v>
                </c:pt>
                <c:pt idx="242">
                  <c:v>1.7912834243775239E-2</c:v>
                </c:pt>
                <c:pt idx="243">
                  <c:v>8.6168573109643709E-3</c:v>
                </c:pt>
                <c:pt idx="244">
                  <c:v>-6.1981031527408303E-4</c:v>
                </c:pt>
                <c:pt idx="245">
                  <c:v>-9.7943550565043336E-3</c:v>
                </c:pt>
                <c:pt idx="246">
                  <c:v>-1.8903982257521351E-2</c:v>
                </c:pt>
                <c:pt idx="247">
                  <c:v>-2.7945917037633217E-2</c:v>
                </c:pt>
                <c:pt idx="248">
                  <c:v>-3.6917405135914683E-2</c:v>
                </c:pt>
                <c:pt idx="249">
                  <c:v>-4.581571375018223E-2</c:v>
                </c:pt>
                <c:pt idx="250">
                  <c:v>-5.4638132369432713E-2</c:v>
                </c:pt>
                <c:pt idx="251">
                  <c:v>-6.338197359948905E-2</c:v>
                </c:pt>
                <c:pt idx="252">
                  <c:v>-7.204457398160935E-2</c:v>
                </c:pt>
                <c:pt idx="253">
                  <c:v>-8.0623294803800816E-2</c:v>
                </c:pt>
                <c:pt idx="254">
                  <c:v>-8.9115522904597733E-2</c:v>
                </c:pt>
                <c:pt idx="255">
                  <c:v>-9.7518671469053408E-2</c:v>
                </c:pt>
                <c:pt idx="256">
                  <c:v>-0.10583018081671253</c:v>
                </c:pt>
                <c:pt idx="257">
                  <c:v>-0.1140475191813124</c:v>
                </c:pt>
                <c:pt idx="258">
                  <c:v>-0.12216818348198399</c:v>
                </c:pt>
                <c:pt idx="259">
                  <c:v>-0.13018970008571495</c:v>
                </c:pt>
                <c:pt idx="260">
                  <c:v>-0.13810962556084105</c:v>
                </c:pt>
                <c:pt idx="261">
                  <c:v>-0.14592554742134073</c:v>
                </c:pt>
                <c:pt idx="262">
                  <c:v>-0.15363508486170091</c:v>
                </c:pt>
                <c:pt idx="263">
                  <c:v>-0.16123588948213352</c:v>
                </c:pt>
                <c:pt idx="264">
                  <c:v>-0.16872564600391993</c:v>
                </c:pt>
                <c:pt idx="265">
                  <c:v>-0.17610207297466879</c:v>
                </c:pt>
                <c:pt idx="266">
                  <c:v>-0.1833629234632681</c:v>
                </c:pt>
                <c:pt idx="267">
                  <c:v>-0.19050598574432143</c:v>
                </c:pt>
                <c:pt idx="268">
                  <c:v>-0.19752908397186197</c:v>
                </c:pt>
                <c:pt idx="269">
                  <c:v>-0.20443007884213449</c:v>
                </c:pt>
                <c:pt idx="270">
                  <c:v>-0.21120686824525065</c:v>
                </c:pt>
                <c:pt idx="271">
                  <c:v>-0.21785738790550979</c:v>
                </c:pt>
                <c:pt idx="272">
                  <c:v>-0.22437961201019896</c:v>
                </c:pt>
                <c:pt idx="273">
                  <c:v>-0.23077155382667269</c:v>
                </c:pt>
                <c:pt idx="274">
                  <c:v>-0.23703126630753418</c:v>
                </c:pt>
                <c:pt idx="275">
                  <c:v>-0.24315684268372229</c:v>
                </c:pt>
                <c:pt idx="276">
                  <c:v>-0.24914641704533336</c:v>
                </c:pt>
                <c:pt idx="277">
                  <c:v>-0.25499816490999455</c:v>
                </c:pt>
                <c:pt idx="278">
                  <c:v>-0.2607103037786187</c:v>
                </c:pt>
                <c:pt idx="279">
                  <c:v>-0.26628109367837183</c:v>
                </c:pt>
                <c:pt idx="280">
                  <c:v>-0.27170883769268522</c:v>
                </c:pt>
                <c:pt idx="281">
                  <c:v>-0.27699188247815254</c:v>
                </c:pt>
                <c:pt idx="282">
                  <c:v>-0.28212861876815354</c:v>
                </c:pt>
                <c:pt idx="283">
                  <c:v>-0.28711748186305397</c:v>
                </c:pt>
                <c:pt idx="284">
                  <c:v>-0.29195695210682687</c:v>
                </c:pt>
                <c:pt idx="285">
                  <c:v>-0.29664555534995507</c:v>
                </c:pt>
                <c:pt idx="286">
                  <c:v>-0.30118186339847131</c:v>
                </c:pt>
                <c:pt idx="287">
                  <c:v>-0.30556449444899936</c:v>
                </c:pt>
                <c:pt idx="288">
                  <c:v>-0.30979211350966596</c:v>
                </c:pt>
                <c:pt idx="289">
                  <c:v>-0.31386343280675155</c:v>
                </c:pt>
                <c:pt idx="290">
                  <c:v>-0.31777721217695853</c:v>
                </c:pt>
                <c:pt idx="291">
                  <c:v>-0.3215322594451766</c:v>
                </c:pt>
                <c:pt idx="292">
                  <c:v>-0.32512743078763218</c:v>
                </c:pt>
                <c:pt idx="293">
                  <c:v>-0.32856163108030723</c:v>
                </c:pt>
                <c:pt idx="294">
                  <c:v>-0.33183381423252478</c:v>
                </c:pt>
                <c:pt idx="295">
                  <c:v>-0.33494298350559826</c:v>
                </c:pt>
                <c:pt idx="296">
                  <c:v>-0.3378881918164478</c:v>
                </c:pt>
                <c:pt idx="297">
                  <c:v>-0.34066854202609098</c:v>
                </c:pt>
                <c:pt idx="298">
                  <c:v>-0.34328318721292028</c:v>
                </c:pt>
                <c:pt idx="299">
                  <c:v>-0.34573133093068331</c:v>
                </c:pt>
                <c:pt idx="300">
                  <c:v>-0.34801222745108762</c:v>
                </c:pt>
                <c:pt idx="301">
                  <c:v>-0.35012518199095755</c:v>
                </c:pt>
                <c:pt idx="302">
                  <c:v>-0.35206955092387171</c:v>
                </c:pt>
                <c:pt idx="303">
                  <c:v>-0.35384474197621762</c:v>
                </c:pt>
                <c:pt idx="304">
                  <c:v>-0.35545021440760416</c:v>
                </c:pt>
                <c:pt idx="305">
                  <c:v>-0.356885479175576</c:v>
                </c:pt>
                <c:pt idx="306">
                  <c:v>-0.35815009908458117</c:v>
                </c:pt>
                <c:pt idx="307">
                  <c:v>-0.35924368891914471</c:v>
                </c:pt>
                <c:pt idx="308">
                  <c:v>-0.36016591556120936</c:v>
                </c:pt>
                <c:pt idx="309">
                  <c:v>-0.36091649809160564</c:v>
                </c:pt>
                <c:pt idx="310">
                  <c:v>-0.36149520787562439</c:v>
                </c:pt>
                <c:pt idx="311">
                  <c:v>-0.36190186863265883</c:v>
                </c:pt>
                <c:pt idx="312">
                  <c:v>-0.36213635648990317</c:v>
                </c:pt>
                <c:pt idx="313">
                  <c:v>-0.36219860002008442</c:v>
                </c:pt>
                <c:pt idx="314">
                  <c:v>-0.36208858026322044</c:v>
                </c:pt>
                <c:pt idx="315">
                  <c:v>-0.36180633073239488</c:v>
                </c:pt>
                <c:pt idx="316">
                  <c:v>-0.36135193740354921</c:v>
                </c:pt>
                <c:pt idx="317">
                  <c:v>-0.36072553868929291</c:v>
                </c:pt>
                <c:pt idx="318">
                  <c:v>-0.35992732539674255</c:v>
                </c:pt>
                <c:pt idx="319">
                  <c:v>-0.35895754066939967</c:v>
                </c:pt>
                <c:pt idx="320">
                  <c:v>-0.35781647991308652</c:v>
                </c:pt>
                <c:pt idx="321">
                  <c:v>-0.35650449070596324</c:v>
                </c:pt>
                <c:pt idx="322">
                  <c:v>-0.35502197269265179</c:v>
                </c:pt>
                <c:pt idx="323">
                  <c:v>-0.35336937746250063</c:v>
                </c:pt>
                <c:pt idx="324">
                  <c:v>-0.35154720841202591</c:v>
                </c:pt>
                <c:pt idx="325">
                  <c:v>-0.34955602059157198</c:v>
                </c:pt>
                <c:pt idx="326">
                  <c:v>-0.34739642053623798</c:v>
                </c:pt>
                <c:pt idx="327">
                  <c:v>-0.34506906608112164</c:v>
                </c:pt>
                <c:pt idx="328">
                  <c:v>-0.34257466616093535</c:v>
                </c:pt>
                <c:pt idx="329">
                  <c:v>-0.33991398059405864</c:v>
                </c:pt>
                <c:pt idx="330">
                  <c:v>-0.33708781985108971</c:v>
                </c:pt>
                <c:pt idx="331">
                  <c:v>-0.33409704480796842</c:v>
                </c:pt>
                <c:pt idx="332">
                  <c:v>-0.33094256648374554</c:v>
                </c:pt>
                <c:pt idx="333">
                  <c:v>-0.32762534576307656</c:v>
                </c:pt>
                <c:pt idx="334">
                  <c:v>-0.32414639310352755</c:v>
                </c:pt>
                <c:pt idx="335">
                  <c:v>-0.32050676822778001</c:v>
                </c:pt>
                <c:pt idx="336">
                  <c:v>-0.31670757980082909</c:v>
                </c:pt>
                <c:pt idx="337">
                  <c:v>-0.31274998509227314</c:v>
                </c:pt>
                <c:pt idx="338">
                  <c:v>-0.30863518962379832</c:v>
                </c:pt>
                <c:pt idx="339">
                  <c:v>-0.30436444680196528</c:v>
                </c:pt>
                <c:pt idx="340">
                  <c:v>-0.29993905753640926</c:v>
                </c:pt>
                <c:pt idx="341">
                  <c:v>-0.29536036984357034</c:v>
                </c:pt>
                <c:pt idx="342">
                  <c:v>-0.2906297784360744</c:v>
                </c:pt>
                <c:pt idx="343">
                  <c:v>-0.28574872429789039</c:v>
                </c:pt>
                <c:pt idx="344">
                  <c:v>-0.28071869424539247</c:v>
                </c:pt>
                <c:pt idx="345">
                  <c:v>-0.275541220474462</c:v>
                </c:pt>
                <c:pt idx="346">
                  <c:v>-0.2702178800937648</c:v>
                </c:pt>
                <c:pt idx="347">
                  <c:v>-0.26475029464434907</c:v>
                </c:pt>
                <c:pt idx="348">
                  <c:v>-0.25914012960570854</c:v>
                </c:pt>
                <c:pt idx="349">
                  <c:v>-0.25338909388846043</c:v>
                </c:pt>
                <c:pt idx="350">
                  <c:v>-0.24749893931379641</c:v>
                </c:pt>
                <c:pt idx="351">
                  <c:v>-0.24147146007985876</c:v>
                </c:pt>
                <c:pt idx="352">
                  <c:v>-0.23530849221521183</c:v>
                </c:pt>
                <c:pt idx="353">
                  <c:v>-0.22901191301956864</c:v>
                </c:pt>
                <c:pt idx="354">
                  <c:v>-0.22258364049194934</c:v>
                </c:pt>
                <c:pt idx="355">
                  <c:v>-0.21602563274643749</c:v>
                </c:pt>
                <c:pt idx="356">
                  <c:v>-0.20933988741572124</c:v>
                </c:pt>
                <c:pt idx="357">
                  <c:v>-0.2025284410425946</c:v>
                </c:pt>
                <c:pt idx="358">
                  <c:v>-0.19559336845960651</c:v>
                </c:pt>
                <c:pt idx="359">
                  <c:v>-0.18853678215704789</c:v>
                </c:pt>
                <c:pt idx="360">
                  <c:v>-0.18136083163946487</c:v>
                </c:pt>
              </c:numCache>
            </c:numRef>
          </c:yVal>
          <c:smooth val="0"/>
        </c:ser>
        <c:ser>
          <c:idx val="0"/>
          <c:order val="0"/>
          <c:tx>
            <c:v>Sonne</c:v>
          </c:tx>
          <c:spPr>
            <a:ln w="28575">
              <a:noFill/>
            </a:ln>
          </c:spPr>
          <c:dPt>
            <c:idx val="0"/>
            <c:marker>
              <c:symbol val="circle"/>
              <c:size val="8"/>
              <c:spPr>
                <a:solidFill>
                  <a:srgbClr val="FFFF00"/>
                </a:solidFill>
                <a:effectLst>
                  <a:glow rad="787400">
                    <a:srgbClr val="FFFF00">
                      <a:alpha val="40000"/>
                    </a:srgbClr>
                  </a:glow>
                </a:effectLst>
              </c:spPr>
            </c:marker>
            <c:bubble3D val="0"/>
            <c:spPr>
              <a:ln w="28575">
                <a:noFill/>
              </a:ln>
              <a:effectLst>
                <a:glow rad="787400">
                  <a:srgbClr val="FFFF00">
                    <a:alpha val="40000"/>
                  </a:srgbClr>
                </a:glow>
              </a:effectLst>
            </c:spPr>
          </c:dPt>
          <c:dPt>
            <c:idx val="1"/>
            <c:marker>
              <c:symbol val="circle"/>
              <c:size val="7"/>
              <c:spPr>
                <a:solidFill>
                  <a:srgbClr val="FF0000"/>
                </a:solidFill>
              </c:spPr>
            </c:marker>
            <c:bubble3D val="0"/>
          </c:dPt>
          <c:dLbls>
            <c:dLbl>
              <c:idx val="1"/>
              <c:delete val="1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Tabelle1!$E$108:$F$108</c:f>
              <c:numCache>
                <c:formatCode>General</c:formatCode>
                <c:ptCount val="2"/>
                <c:pt idx="0">
                  <c:v>-0.44126963458843715</c:v>
                </c:pt>
                <c:pt idx="1">
                  <c:v>0</c:v>
                </c:pt>
              </c:numCache>
            </c:numRef>
          </c:xVal>
          <c:yVal>
            <c:numRef>
              <c:f>Tabelle1!$E$109:$F$109</c:f>
              <c:numCache>
                <c:formatCode>General</c:formatCode>
                <c:ptCount val="2"/>
                <c:pt idx="0">
                  <c:v>0.44173226842141133</c:v>
                </c:pt>
                <c:pt idx="1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v>Meridian</c:v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dPt>
            <c:idx val="1"/>
            <c:marker>
              <c:symbol val="circle"/>
              <c:size val="5"/>
              <c:spPr>
                <a:solidFill>
                  <a:srgbClr val="0070C0"/>
                </a:solidFill>
              </c:spPr>
            </c:marker>
            <c:bubble3D val="0"/>
          </c:dPt>
          <c:xVal>
            <c:numRef>
              <c:f>Tabelle1!$S$88:$T$88</c:f>
              <c:numCache>
                <c:formatCode>General</c:formatCode>
                <c:ptCount val="2"/>
                <c:pt idx="0">
                  <c:v>0.71470626948938065</c:v>
                </c:pt>
                <c:pt idx="1">
                  <c:v>0</c:v>
                </c:pt>
              </c:numCache>
            </c:numRef>
          </c:xVal>
          <c:yVal>
            <c:numRef>
              <c:f>Tabelle1!$S$89:$T$89</c:f>
              <c:numCache>
                <c:formatCode>General</c:formatCode>
                <c:ptCount val="2"/>
                <c:pt idx="0">
                  <c:v>0.69942472672373601</c:v>
                </c:pt>
                <c:pt idx="1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v>Merkur</c:v>
          </c:tx>
          <c:spPr>
            <a:ln w="6350">
              <a:noFill/>
            </a:ln>
          </c:spPr>
          <c:marker>
            <c:symbol val="circle"/>
            <c:size val="3"/>
            <c:spPr>
              <a:solidFill>
                <a:schemeClr val="bg1">
                  <a:lumMod val="65000"/>
                </a:schemeClr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1"/>
              <c:delete val="1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Tabelle1!$E$118:$F$118</c:f>
              <c:numCache>
                <c:formatCode>General</c:formatCode>
                <c:ptCount val="2"/>
                <c:pt idx="0">
                  <c:v>-0.42716916174495428</c:v>
                </c:pt>
                <c:pt idx="1">
                  <c:v>0</c:v>
                </c:pt>
              </c:numCache>
            </c:numRef>
          </c:xVal>
          <c:yVal>
            <c:numRef>
              <c:f>Tabelle1!$E$119:$F$119</c:f>
              <c:numCache>
                <c:formatCode>General</c:formatCode>
                <c:ptCount val="2"/>
                <c:pt idx="0">
                  <c:v>0.46681161390374842</c:v>
                </c:pt>
                <c:pt idx="1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v>Venus</c:v>
          </c:tx>
          <c:spPr>
            <a:ln w="6350">
              <a:noFill/>
            </a:ln>
          </c:spPr>
          <c:dPt>
            <c:idx val="0"/>
            <c:marker>
              <c:symbol val="circle"/>
              <c:size val="4"/>
              <c:spPr>
                <a:solidFill>
                  <a:schemeClr val="tx2">
                    <a:lumMod val="20000"/>
                    <a:lumOff val="80000"/>
                  </a:schemeClr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dLbls>
            <c:dLbl>
              <c:idx val="1"/>
              <c:delete val="1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Tabelle1!$E$123:$F$123</c:f>
              <c:numCache>
                <c:formatCode>General</c:formatCode>
                <c:ptCount val="2"/>
                <c:pt idx="0">
                  <c:v>-0.64604251825545222</c:v>
                </c:pt>
                <c:pt idx="1">
                  <c:v>0</c:v>
                </c:pt>
              </c:numCache>
            </c:numRef>
          </c:xVal>
          <c:yVal>
            <c:numRef>
              <c:f>Tabelle1!$E$124:$F$124</c:f>
              <c:numCache>
                <c:formatCode>General</c:formatCode>
                <c:ptCount val="2"/>
                <c:pt idx="0">
                  <c:v>-3.0205991056117338E-2</c:v>
                </c:pt>
                <c:pt idx="1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v>Mars</c:v>
          </c:tx>
          <c:spPr>
            <a:ln w="6350">
              <a:noFill/>
            </a:ln>
          </c:spPr>
          <c:dPt>
            <c:idx val="0"/>
            <c:marker>
              <c:symbol val="circle"/>
              <c:size val="3"/>
              <c:spPr>
                <a:solidFill>
                  <a:srgbClr val="FF0000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dLbls>
            <c:dLbl>
              <c:idx val="1"/>
              <c:delete val="1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Tabelle1!$E$128:$F$128</c:f>
              <c:numCache>
                <c:formatCode>General</c:formatCode>
                <c:ptCount val="2"/>
                <c:pt idx="0">
                  <c:v>0.15865445968352931</c:v>
                </c:pt>
                <c:pt idx="1">
                  <c:v>0</c:v>
                </c:pt>
              </c:numCache>
            </c:numRef>
          </c:xVal>
          <c:yVal>
            <c:numRef>
              <c:f>Tabelle1!$E$129:$F$129</c:f>
              <c:numCache>
                <c:formatCode>General</c:formatCode>
                <c:ptCount val="2"/>
                <c:pt idx="0">
                  <c:v>0.44776929540023364</c:v>
                </c:pt>
                <c:pt idx="1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v>Jupiter</c:v>
          </c:tx>
          <c:spPr>
            <a:ln w="6350">
              <a:noFill/>
            </a:ln>
          </c:spPr>
          <c:dPt>
            <c:idx val="0"/>
            <c:marker>
              <c:symbol val="circle"/>
              <c:size val="4"/>
              <c:spPr>
                <a:solidFill>
                  <a:srgbClr val="00B0F0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dLbls>
            <c:dLbl>
              <c:idx val="1"/>
              <c:delete val="1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Tabelle1!$E$133:$F$133</c:f>
              <c:numCache>
                <c:formatCode>General</c:formatCode>
                <c:ptCount val="2"/>
                <c:pt idx="0">
                  <c:v>-0.63727154532160157</c:v>
                </c:pt>
                <c:pt idx="1">
                  <c:v>0</c:v>
                </c:pt>
              </c:numCache>
            </c:numRef>
          </c:xVal>
          <c:yVal>
            <c:numRef>
              <c:f>Tabelle1!$E$134:$F$134</c:f>
              <c:numCache>
                <c:formatCode>General</c:formatCode>
                <c:ptCount val="2"/>
                <c:pt idx="0">
                  <c:v>-0.15049066439745656</c:v>
                </c:pt>
                <c:pt idx="1">
                  <c:v>0</c:v>
                </c:pt>
              </c:numCache>
            </c:numRef>
          </c:yVal>
          <c:smooth val="0"/>
        </c:ser>
        <c:ser>
          <c:idx val="8"/>
          <c:order val="8"/>
          <c:tx>
            <c:v>Saturn</c:v>
          </c:tx>
          <c:spPr>
            <a:ln w="6350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C000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dPt>
            <c:idx val="1"/>
            <c:marker>
              <c:symbol val="none"/>
            </c:marker>
            <c:bubble3D val="0"/>
          </c:dPt>
          <c:dLbls>
            <c:dLbl>
              <c:idx val="1"/>
              <c:delete val="1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Tabelle1!$E$138:$F$138</c:f>
              <c:numCache>
                <c:formatCode>General</c:formatCode>
                <c:ptCount val="2"/>
                <c:pt idx="0">
                  <c:v>-0.62889761240942044</c:v>
                </c:pt>
                <c:pt idx="1">
                  <c:v>0</c:v>
                </c:pt>
              </c:numCache>
            </c:numRef>
          </c:xVal>
          <c:yVal>
            <c:numRef>
              <c:f>Tabelle1!$E$139:$F$139</c:f>
              <c:numCache>
                <c:formatCode>General</c:formatCode>
                <c:ptCount val="2"/>
                <c:pt idx="0">
                  <c:v>0.18055978687973656</c:v>
                </c:pt>
                <c:pt idx="1">
                  <c:v>0</c:v>
                </c:pt>
              </c:numCache>
            </c:numRef>
          </c:yVal>
          <c:smooth val="0"/>
        </c:ser>
        <c:ser>
          <c:idx val="9"/>
          <c:order val="9"/>
          <c:tx>
            <c:v>Uranus</c:v>
          </c:tx>
          <c:spPr>
            <a:ln w="6350">
              <a:noFill/>
            </a:ln>
          </c:spPr>
          <c:dPt>
            <c:idx val="0"/>
            <c:marker>
              <c:symbol val="circle"/>
              <c:size val="3"/>
              <c:spPr>
                <a:solidFill>
                  <a:srgbClr val="92D050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dLbls>
            <c:dLbl>
              <c:idx val="1"/>
              <c:delete val="1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Tabelle1!$E$143:$F$143</c:f>
              <c:numCache>
                <c:formatCode>General</c:formatCode>
                <c:ptCount val="2"/>
                <c:pt idx="0">
                  <c:v>0.20920159284084958</c:v>
                </c:pt>
                <c:pt idx="1">
                  <c:v>0</c:v>
                </c:pt>
              </c:numCache>
            </c:numRef>
          </c:xVal>
          <c:yVal>
            <c:numRef>
              <c:f>Tabelle1!$E$144:$F$144</c:f>
              <c:numCache>
                <c:formatCode>General</c:formatCode>
                <c:ptCount val="2"/>
                <c:pt idx="0">
                  <c:v>0.41377490128756278</c:v>
                </c:pt>
                <c:pt idx="1">
                  <c:v>0</c:v>
                </c:pt>
              </c:numCache>
            </c:numRef>
          </c:yVal>
          <c:smooth val="0"/>
        </c:ser>
        <c:ser>
          <c:idx val="10"/>
          <c:order val="10"/>
          <c:tx>
            <c:v>Neptun</c:v>
          </c:tx>
          <c:spPr>
            <a:ln w="6350">
              <a:noFill/>
            </a:ln>
          </c:spPr>
          <c:dPt>
            <c:idx val="0"/>
            <c:marker>
              <c:symbol val="circle"/>
              <c:size val="3"/>
              <c:spPr>
                <a:solidFill>
                  <a:schemeClr val="accent5">
                    <a:lumMod val="60000"/>
                    <a:lumOff val="40000"/>
                  </a:schemeClr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dPt>
            <c:idx val="1"/>
            <c:marker>
              <c:symbol val="circle"/>
              <c:size val="3"/>
              <c:spPr>
                <a:solidFill>
                  <a:schemeClr val="tx1"/>
                </a:solidFill>
                <a:ln>
                  <a:noFill/>
                </a:ln>
              </c:spPr>
            </c:marker>
            <c:bubble3D val="0"/>
          </c:dPt>
          <c:dLbls>
            <c:dLbl>
              <c:idx val="1"/>
              <c:delete val="1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Tabelle1!$E$148:$F$148</c:f>
              <c:numCache>
                <c:formatCode>General</c:formatCode>
                <c:ptCount val="2"/>
                <c:pt idx="0">
                  <c:v>-0.13387346053762483</c:v>
                </c:pt>
                <c:pt idx="1">
                  <c:v>0</c:v>
                </c:pt>
              </c:numCache>
            </c:numRef>
          </c:xVal>
          <c:yVal>
            <c:numRef>
              <c:f>Tabelle1!$E$149:$F$149</c:f>
              <c:numCache>
                <c:formatCode>General</c:formatCode>
                <c:ptCount val="2"/>
                <c:pt idx="0">
                  <c:v>0.54920819437404211</c:v>
                </c:pt>
                <c:pt idx="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274176"/>
        <c:axId val="82275712"/>
      </c:scatterChart>
      <c:valAx>
        <c:axId val="82274176"/>
        <c:scaling>
          <c:orientation val="minMax"/>
          <c:max val="1"/>
          <c:min val="-1"/>
        </c:scaling>
        <c:delete val="1"/>
        <c:axPos val="b"/>
        <c:numFmt formatCode="General" sourceLinked="1"/>
        <c:majorTickMark val="out"/>
        <c:minorTickMark val="none"/>
        <c:tickLblPos val="nextTo"/>
        <c:crossAx val="82275712"/>
        <c:crosses val="autoZero"/>
        <c:crossBetween val="midCat"/>
        <c:majorUnit val="0.1"/>
      </c:valAx>
      <c:valAx>
        <c:axId val="82275712"/>
        <c:scaling>
          <c:orientation val="minMax"/>
          <c:max val="1"/>
          <c:min val="-1"/>
        </c:scaling>
        <c:delete val="1"/>
        <c:axPos val="l"/>
        <c:numFmt formatCode="General" sourceLinked="1"/>
        <c:majorTickMark val="out"/>
        <c:minorTickMark val="none"/>
        <c:tickLblPos val="nextTo"/>
        <c:crossAx val="82274176"/>
        <c:crosses val="autoZero"/>
        <c:crossBetween val="midCat"/>
        <c:majorUnit val="0.1"/>
      </c:valAx>
      <c:spPr>
        <a:noFill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Sichtbarkeitsfenster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rgbClr val="FF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</c:dPt>
          <c:dPt>
            <c:idx val="2"/>
            <c:marker>
              <c:symbol val="circle"/>
              <c:size val="6"/>
              <c:spPr>
                <a:solidFill>
                  <a:schemeClr val="tx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</c:dPt>
          <c:xVal>
            <c:numRef>
              <c:f>Tabelle3!$H$17:$H$377</c:f>
              <c:numCache>
                <c:formatCode>0.0</c:formatCode>
                <c:ptCount val="361"/>
                <c:pt idx="0">
                  <c:v>-0.18532333567859646</c:v>
                </c:pt>
                <c:pt idx="1">
                  <c:v>-0.19234332027374582</c:v>
                </c:pt>
                <c:pt idx="2">
                  <c:v>-0.19924142796432251</c:v>
                </c:pt>
                <c:pt idx="3">
                  <c:v>-0.20601555751990056</c:v>
                </c:pt>
                <c:pt idx="4">
                  <c:v>-0.21266364547499475</c:v>
                </c:pt>
                <c:pt idx="5">
                  <c:v>-0.21918366675761261</c:v>
                </c:pt>
                <c:pt idx="6">
                  <c:v>-0.22557363530611055</c:v>
                </c:pt>
                <c:pt idx="7">
                  <c:v>-0.23183160467416777</c:v>
                </c:pt>
                <c:pt idx="8">
                  <c:v>-0.23795566862369225</c:v>
                </c:pt>
                <c:pt idx="9">
                  <c:v>-0.24394396170547997</c:v>
                </c:pt>
                <c:pt idx="10">
                  <c:v>-0.24979465982744822</c:v>
                </c:pt>
                <c:pt idx="11">
                  <c:v>-0.2555059808102722</c:v>
                </c:pt>
                <c:pt idx="12">
                  <c:v>-0.26107618493025375</c:v>
                </c:pt>
                <c:pt idx="13">
                  <c:v>-0.26650357544925796</c:v>
                </c:pt>
                <c:pt idx="14">
                  <c:v>-0.2717864991315565</c:v>
                </c:pt>
                <c:pt idx="15">
                  <c:v>-0.27692334674741903</c:v>
                </c:pt>
                <c:pt idx="16">
                  <c:v>-0.28191255356329981</c:v>
                </c:pt>
                <c:pt idx="17">
                  <c:v>-0.28675259981847134</c:v>
                </c:pt>
                <c:pt idx="18">
                  <c:v>-0.29144201118795754</c:v>
                </c:pt>
                <c:pt idx="19">
                  <c:v>-0.2959793592316281</c:v>
                </c:pt>
                <c:pt idx="20">
                  <c:v>-0.30036326182931472</c:v>
                </c:pt>
                <c:pt idx="21">
                  <c:v>-0.30459238360181817</c:v>
                </c:pt>
                <c:pt idx="22">
                  <c:v>-0.30866543631767795</c:v>
                </c:pt>
                <c:pt idx="23">
                  <c:v>-0.31258117928558049</c:v>
                </c:pt>
                <c:pt idx="24">
                  <c:v>-0.31633841973228527</c:v>
                </c:pt>
                <c:pt idx="25">
                  <c:v>-0.31993601316595455</c:v>
                </c:pt>
                <c:pt idx="26">
                  <c:v>-0.32337286372477825</c:v>
                </c:pt>
                <c:pt idx="27">
                  <c:v>-0.32664792451078228</c:v>
                </c:pt>
                <c:pt idx="28">
                  <c:v>-0.32976019790872524</c:v>
                </c:pt>
                <c:pt idx="29">
                  <c:v>-0.33270873588998062</c:v>
                </c:pt>
                <c:pt idx="30">
                  <c:v>-0.33549264030131642</c:v>
                </c:pt>
                <c:pt idx="31">
                  <c:v>-0.33811106313848049</c:v>
                </c:pt>
                <c:pt idx="32">
                  <c:v>-0.34056320680451146</c:v>
                </c:pt>
                <c:pt idx="33">
                  <c:v>-0.3428483243526943</c:v>
                </c:pt>
                <c:pt idx="34">
                  <c:v>-0.34496571971408729</c:v>
                </c:pt>
                <c:pt idx="35">
                  <c:v>-0.34691474790955168</c:v>
                </c:pt>
                <c:pt idx="36">
                  <c:v>-0.34869481524621848</c:v>
                </c:pt>
                <c:pt idx="37">
                  <c:v>-0.35030537949833318</c:v>
                </c:pt>
                <c:pt idx="38">
                  <c:v>-0.35174595007242249</c:v>
                </c:pt>
                <c:pt idx="39">
                  <c:v>-0.35301608815673458</c:v>
                </c:pt>
                <c:pt idx="40">
                  <c:v>-0.35411540685490472</c:v>
                </c:pt>
                <c:pt idx="41">
                  <c:v>-0.35504357130380826</c:v>
                </c:pt>
                <c:pt idx="42">
                  <c:v>-0.35580029877556263</c:v>
                </c:pt>
                <c:pt idx="43">
                  <c:v>-0.3563853587636493</c:v>
                </c:pt>
                <c:pt idx="44">
                  <c:v>-0.35679857305312856</c:v>
                </c:pt>
                <c:pt idx="45">
                  <c:v>-0.35703981577492461</c:v>
                </c:pt>
                <c:pt idx="46">
                  <c:v>-0.35710901344416757</c:v>
                </c:pt>
                <c:pt idx="47">
                  <c:v>-0.3570061449825771</c:v>
                </c:pt>
                <c:pt idx="48">
                  <c:v>-0.35673124172488302</c:v>
                </c:pt>
                <c:pt idx="49">
                  <c:v>-0.35628438740928081</c:v>
                </c:pt>
                <c:pt idx="50">
                  <c:v>-0.35566571815192349</c:v>
                </c:pt>
                <c:pt idx="51">
                  <c:v>-0.35487542240546044</c:v>
                </c:pt>
                <c:pt idx="52">
                  <c:v>-0.35391374090163141</c:v>
                </c:pt>
                <c:pt idx="53">
                  <c:v>-0.35278096657793878</c:v>
                </c:pt>
                <c:pt idx="54">
                  <c:v>-0.35147744448841478</c:v>
                </c:pt>
                <c:pt idx="55">
                  <c:v>-0.35000357169851548</c:v>
                </c:pt>
                <c:pt idx="56">
                  <c:v>-0.34835979716417043</c:v>
                </c:pt>
                <c:pt idx="57">
                  <c:v>-0.34654662159502625</c:v>
                </c:pt>
                <c:pt idx="58">
                  <c:v>-0.34456459730192612</c:v>
                </c:pt>
                <c:pt idx="59">
                  <c:v>-0.34241432802866989</c:v>
                </c:pt>
                <c:pt idx="60">
                  <c:v>-0.3400964687681084</c:v>
                </c:pt>
                <c:pt idx="61">
                  <c:v>-0.33761172556262586</c:v>
                </c:pt>
                <c:pt idx="62">
                  <c:v>-0.33496085528907316</c:v>
                </c:pt>
                <c:pt idx="63">
                  <c:v>-0.33214466542821486</c:v>
                </c:pt>
                <c:pt idx="64">
                  <c:v>-0.32916401381876403</c:v>
                </c:pt>
                <c:pt idx="65">
                  <c:v>-0.3260198083960747</c:v>
                </c:pt>
                <c:pt idx="66">
                  <c:v>-0.32271300691557758</c:v>
                </c:pt>
                <c:pt idx="67">
                  <c:v>-0.3192446166610371</c:v>
                </c:pt>
                <c:pt idx="68">
                  <c:v>-0.31561569413772406</c:v>
                </c:pt>
                <c:pt idx="69">
                  <c:v>-0.31182734475059304</c:v>
                </c:pt>
                <c:pt idx="70">
                  <c:v>-0.30788072246756593</c:v>
                </c:pt>
                <c:pt idx="71">
                  <c:v>-0.30377702946802188</c:v>
                </c:pt>
                <c:pt idx="72">
                  <c:v>-0.29951751577660224</c:v>
                </c:pt>
                <c:pt idx="73">
                  <c:v>-0.29510347888243993</c:v>
                </c:pt>
                <c:pt idx="74">
                  <c:v>-0.29053626334393268</c:v>
                </c:pt>
                <c:pt idx="75">
                  <c:v>-0.28581726037917721</c:v>
                </c:pt>
                <c:pt idx="76">
                  <c:v>-0.28094790744219067</c:v>
                </c:pt>
                <c:pt idx="77">
                  <c:v>-0.27592968778504789</c:v>
                </c:pt>
                <c:pt idx="78">
                  <c:v>-0.27076413000606936</c:v>
                </c:pt>
                <c:pt idx="79">
                  <c:v>-0.26545280758419421</c:v>
                </c:pt>
                <c:pt idx="80">
                  <c:v>-0.25999733839968409</c:v>
                </c:pt>
                <c:pt idx="81">
                  <c:v>-0.25439938424130093</c:v>
                </c:pt>
                <c:pt idx="82">
                  <c:v>-0.24866065030011011</c:v>
                </c:pt>
                <c:pt idx="83">
                  <c:v>-0.24278288465006229</c:v>
                </c:pt>
                <c:pt idx="84">
                  <c:v>-0.23676787771551369</c:v>
                </c:pt>
                <c:pt idx="85">
                  <c:v>-0.23061746172584544</c:v>
                </c:pt>
                <c:pt idx="86">
                  <c:v>-0.22433351015734823</c:v>
                </c:pt>
                <c:pt idx="87">
                  <c:v>-0.21791793716254396</c:v>
                </c:pt>
                <c:pt idx="88">
                  <c:v>-0.21137269698711583</c:v>
                </c:pt>
                <c:pt idx="89">
                  <c:v>-0.20469978337462633</c:v>
                </c:pt>
                <c:pt idx="90">
                  <c:v>-0.19790122895920395</c:v>
                </c:pt>
                <c:pt idx="91">
                  <c:v>-0.1909791046463826</c:v>
                </c:pt>
                <c:pt idx="92">
                  <c:v>-0.18393551898228425</c:v>
                </c:pt>
                <c:pt idx="93">
                  <c:v>-0.17677261751133463</c:v>
                </c:pt>
                <c:pt idx="94">
                  <c:v>-0.16949258212271071</c:v>
                </c:pt>
                <c:pt idx="95">
                  <c:v>-0.16209763038571504</c:v>
                </c:pt>
                <c:pt idx="96">
                  <c:v>-0.15459001487428306</c:v>
                </c:pt>
                <c:pt idx="97">
                  <c:v>-0.14697202248082777</c:v>
                </c:pt>
                <c:pt idx="98">
                  <c:v>-0.13924597371962907</c:v>
                </c:pt>
                <c:pt idx="99">
                  <c:v>-0.13141422201998357</c:v>
                </c:pt>
                <c:pt idx="100">
                  <c:v>-0.12347915300932702</c:v>
                </c:pt>
                <c:pt idx="101">
                  <c:v>-0.11544318378654864</c:v>
                </c:pt>
                <c:pt idx="102">
                  <c:v>-0.10730876218572008</c:v>
                </c:pt>
                <c:pt idx="103">
                  <c:v>-9.9078366030460524E-2</c:v>
                </c:pt>
                <c:pt idx="104">
                  <c:v>-9.075450237916885E-2</c:v>
                </c:pt>
                <c:pt idx="105">
                  <c:v>-8.2339706761348191E-2</c:v>
                </c:pt>
                <c:pt idx="106">
                  <c:v>-7.3836542405259747E-2</c:v>
                </c:pt>
                <c:pt idx="107">
                  <c:v>-6.5247599457138233E-2</c:v>
                </c:pt>
                <c:pt idx="108">
                  <c:v>-5.657549419220867E-2</c:v>
                </c:pt>
                <c:pt idx="109">
                  <c:v>-4.7822868217743425E-2</c:v>
                </c:pt>
                <c:pt idx="110">
                  <c:v>-3.8992387668402712E-2</c:v>
                </c:pt>
                <c:pt idx="111">
                  <c:v>-3.0086742394104804E-2</c:v>
                </c:pt>
                <c:pt idx="112">
                  <c:v>-2.1108645140671206E-2</c:v>
                </c:pt>
                <c:pt idx="113">
                  <c:v>-1.2060830723498006E-2</c:v>
                </c:pt>
                <c:pt idx="114">
                  <c:v>-2.9460551945047209E-3</c:v>
                </c:pt>
                <c:pt idx="115">
                  <c:v>6.2329049973853523E-3</c:v>
                </c:pt>
                <c:pt idx="116">
                  <c:v>1.5473253851979618E-2</c:v>
                </c:pt>
                <c:pt idx="117">
                  <c:v>2.4772176669503321E-2</c:v>
                </c:pt>
                <c:pt idx="118">
                  <c:v>3.4126840907985845E-2</c:v>
                </c:pt>
                <c:pt idx="119">
                  <c:v>4.3534397046079254E-2</c:v>
                </c:pt>
                <c:pt idx="120">
                  <c:v>5.2991979451050969E-2</c:v>
                </c:pt>
                <c:pt idx="121">
                  <c:v>6.2496707251682881E-2</c:v>
                </c:pt>
                <c:pt idx="122">
                  <c:v>7.2045685215812227E-2</c:v>
                </c:pt>
                <c:pt idx="123">
                  <c:v>8.1636004632248571E-2</c:v>
                </c:pt>
                <c:pt idx="124">
                  <c:v>9.1264744196793646E-2</c:v>
                </c:pt>
                <c:pt idx="125">
                  <c:v>0.10092897090210082</c:v>
                </c:pt>
                <c:pt idx="126">
                  <c:v>0.11062574093109584</c:v>
                </c:pt>
                <c:pt idx="127">
                  <c:v>0.12035210055369358</c:v>
                </c:pt>
                <c:pt idx="128">
                  <c:v>0.13010508702653112</c:v>
                </c:pt>
                <c:pt idx="129">
                  <c:v>0.13988172949544977</c:v>
                </c:pt>
                <c:pt idx="130">
                  <c:v>0.14967904990044537</c:v>
                </c:pt>
                <c:pt idx="131">
                  <c:v>0.15949406388281309</c:v>
                </c:pt>
                <c:pt idx="132">
                  <c:v>0.16932378169421444</c:v>
                </c:pt>
                <c:pt idx="133">
                  <c:v>0.17916520910738085</c:v>
                </c:pt>
                <c:pt idx="134">
                  <c:v>0.18901534832818681</c:v>
                </c:pt>
                <c:pt idx="135">
                  <c:v>0.19887119890880464</c:v>
                </c:pt>
                <c:pt idx="136">
                  <c:v>0.20872975866167218</c:v>
                </c:pt>
                <c:pt idx="137">
                  <c:v>0.21858802457398621</c:v>
                </c:pt>
                <c:pt idx="138">
                  <c:v>0.22844299372245105</c:v>
                </c:pt>
                <c:pt idx="139">
                  <c:v>0.23829166418799705</c:v>
                </c:pt>
                <c:pt idx="140">
                  <c:v>0.24813103597019345</c:v>
                </c:pt>
                <c:pt idx="141">
                  <c:v>0.2579581119010802</c:v>
                </c:pt>
                <c:pt idx="142">
                  <c:v>0.26776989855813077</c:v>
                </c:pt>
                <c:pt idx="143">
                  <c:v>0.27756340717608141</c:v>
                </c:pt>
                <c:pt idx="144">
                  <c:v>0.28733565455733434</c:v>
                </c:pt>
                <c:pt idx="145">
                  <c:v>0.29708366398067221</c:v>
                </c:pt>
                <c:pt idx="146">
                  <c:v>0.30680446610799283</c:v>
                </c:pt>
                <c:pt idx="147">
                  <c:v>0.31649509988880109</c:v>
                </c:pt>
                <c:pt idx="148">
                  <c:v>0.32615261346217239</c:v>
                </c:pt>
                <c:pt idx="149">
                  <c:v>0.33577406505591717</c:v>
                </c:pt>
                <c:pt idx="150">
                  <c:v>0.34535652388267546</c:v>
                </c:pt>
                <c:pt idx="151">
                  <c:v>0.35489707103266077</c:v>
                </c:pt>
                <c:pt idx="152">
                  <c:v>0.36439280036279031</c:v>
                </c:pt>
                <c:pt idx="153">
                  <c:v>0.37384081938192248</c:v>
                </c:pt>
                <c:pt idx="154">
                  <c:v>0.38323825013193957</c:v>
                </c:pt>
                <c:pt idx="155">
                  <c:v>0.39258223006439957</c:v>
                </c:pt>
                <c:pt idx="156">
                  <c:v>0.40186991291249818</c:v>
                </c:pt>
                <c:pt idx="157">
                  <c:v>0.41109846955806839</c:v>
                </c:pt>
                <c:pt idx="158">
                  <c:v>0.42026508889335634</c:v>
                </c:pt>
                <c:pt idx="159">
                  <c:v>0.42936697867731399</c:v>
                </c:pt>
                <c:pt idx="160">
                  <c:v>0.43840136638614063</c:v>
                </c:pt>
                <c:pt idx="161">
                  <c:v>0.44736550005782255</c:v>
                </c:pt>
                <c:pt idx="162">
                  <c:v>0.45625664913040548</c:v>
                </c:pt>
                <c:pt idx="163">
                  <c:v>0.46507210527375187</c:v>
                </c:pt>
                <c:pt idx="164">
                  <c:v>0.47380918321452259</c:v>
                </c:pt>
                <c:pt idx="165">
                  <c:v>0.48246522155413929</c:v>
                </c:pt>
                <c:pt idx="166">
                  <c:v>0.49103758357947092</c:v>
                </c:pt>
                <c:pt idx="167">
                  <c:v>0.49952365806600174</c:v>
                </c:pt>
                <c:pt idx="168">
                  <c:v>0.50792086007323745</c:v>
                </c:pt>
                <c:pt idx="169">
                  <c:v>0.51622663173210026</c:v>
                </c:pt>
                <c:pt idx="170">
                  <c:v>0.52443844302408382</c:v>
                </c:pt>
                <c:pt idx="171">
                  <c:v>0.53255379255191848</c:v>
                </c:pt>
                <c:pt idx="172">
                  <c:v>0.54057020830152325</c:v>
                </c:pt>
                <c:pt idx="173">
                  <c:v>0.54848524839500379</c:v>
                </c:pt>
                <c:pt idx="174">
                  <c:v>0.55629650183447288</c:v>
                </c:pt>
                <c:pt idx="175">
                  <c:v>0.56400158923646382</c:v>
                </c:pt>
                <c:pt idx="176">
                  <c:v>0.57159816355671278</c:v>
                </c:pt>
                <c:pt idx="177">
                  <c:v>0.57908391080509258</c:v>
                </c:pt>
                <c:pt idx="178">
                  <c:v>0.58645655075047487</c:v>
                </c:pt>
                <c:pt idx="179">
                  <c:v>0.59371383761531216</c:v>
                </c:pt>
                <c:pt idx="180">
                  <c:v>0.60085356075972229</c:v>
                </c:pt>
                <c:pt idx="181">
                  <c:v>0.6078735453548717</c:v>
                </c:pt>
                <c:pt idx="182">
                  <c:v>0.61477165304544834</c:v>
                </c:pt>
                <c:pt idx="183">
                  <c:v>0.62154578260102633</c:v>
                </c:pt>
                <c:pt idx="184">
                  <c:v>0.62819387055612064</c:v>
                </c:pt>
                <c:pt idx="185">
                  <c:v>0.63471389183873839</c:v>
                </c:pt>
                <c:pt idx="186">
                  <c:v>0.64110386038723643</c:v>
                </c:pt>
                <c:pt idx="187">
                  <c:v>0.64736182975529355</c:v>
                </c:pt>
                <c:pt idx="188">
                  <c:v>0.65348589370481813</c:v>
                </c:pt>
                <c:pt idx="189">
                  <c:v>0.65947418678660574</c:v>
                </c:pt>
                <c:pt idx="190">
                  <c:v>0.66532488490857411</c:v>
                </c:pt>
                <c:pt idx="191">
                  <c:v>0.67103620589139801</c:v>
                </c:pt>
                <c:pt idx="192">
                  <c:v>0.67660641001137967</c:v>
                </c:pt>
                <c:pt idx="193">
                  <c:v>0.68203380053038376</c:v>
                </c:pt>
                <c:pt idx="194">
                  <c:v>0.68731672421268231</c:v>
                </c:pt>
                <c:pt idx="195">
                  <c:v>0.69245357182854494</c:v>
                </c:pt>
                <c:pt idx="196">
                  <c:v>0.69744277864442561</c:v>
                </c:pt>
                <c:pt idx="197">
                  <c:v>0.70228282489959726</c:v>
                </c:pt>
                <c:pt idx="198">
                  <c:v>0.70697223626908345</c:v>
                </c:pt>
                <c:pt idx="199">
                  <c:v>0.71150958431275413</c:v>
                </c:pt>
                <c:pt idx="200">
                  <c:v>0.71589348691044064</c:v>
                </c:pt>
                <c:pt idx="201">
                  <c:v>0.72012260868294409</c:v>
                </c:pt>
                <c:pt idx="202">
                  <c:v>0.72419566139880387</c:v>
                </c:pt>
                <c:pt idx="203">
                  <c:v>0.72811140436670641</c:v>
                </c:pt>
                <c:pt idx="204">
                  <c:v>0.73186864481341118</c:v>
                </c:pt>
                <c:pt idx="205">
                  <c:v>0.73546623824708046</c:v>
                </c:pt>
                <c:pt idx="206">
                  <c:v>0.73890308880590405</c:v>
                </c:pt>
                <c:pt idx="207">
                  <c:v>0.7421781495919082</c:v>
                </c:pt>
                <c:pt idx="208">
                  <c:v>0.74529042298985115</c:v>
                </c:pt>
                <c:pt idx="209">
                  <c:v>0.74823896097110654</c:v>
                </c:pt>
                <c:pt idx="210">
                  <c:v>0.75102286538244234</c:v>
                </c:pt>
                <c:pt idx="211">
                  <c:v>0.75364128821960641</c:v>
                </c:pt>
                <c:pt idx="212">
                  <c:v>0.75609343188563738</c:v>
                </c:pt>
                <c:pt idx="213">
                  <c:v>0.75837854943382021</c:v>
                </c:pt>
                <c:pt idx="214">
                  <c:v>0.76049594479521321</c:v>
                </c:pt>
                <c:pt idx="215">
                  <c:v>0.76244497299067759</c:v>
                </c:pt>
                <c:pt idx="216">
                  <c:v>0.7642250403273444</c:v>
                </c:pt>
                <c:pt idx="217">
                  <c:v>0.76583560457945909</c:v>
                </c:pt>
                <c:pt idx="218">
                  <c:v>0.7672761751535484</c:v>
                </c:pt>
                <c:pt idx="219">
                  <c:v>0.7685463132378606</c:v>
                </c:pt>
                <c:pt idx="220">
                  <c:v>0.76964563193603064</c:v>
                </c:pt>
                <c:pt idx="221">
                  <c:v>0.77057379638493417</c:v>
                </c:pt>
                <c:pt idx="222">
                  <c:v>0.77133052385668854</c:v>
                </c:pt>
                <c:pt idx="223">
                  <c:v>0.77191558384477521</c:v>
                </c:pt>
                <c:pt idx="224">
                  <c:v>0.77232879813425448</c:v>
                </c:pt>
                <c:pt idx="225">
                  <c:v>0.77257004085605052</c:v>
                </c:pt>
                <c:pt idx="226">
                  <c:v>0.77263923852529348</c:v>
                </c:pt>
                <c:pt idx="227">
                  <c:v>0.77253637006370302</c:v>
                </c:pt>
                <c:pt idx="228">
                  <c:v>0.77226146680600893</c:v>
                </c:pt>
                <c:pt idx="229">
                  <c:v>0.77181461249040673</c:v>
                </c:pt>
                <c:pt idx="230">
                  <c:v>0.77119594323304952</c:v>
                </c:pt>
                <c:pt idx="231">
                  <c:v>0.77040564748658635</c:v>
                </c:pt>
                <c:pt idx="232">
                  <c:v>0.76944396598275733</c:v>
                </c:pt>
                <c:pt idx="233">
                  <c:v>0.7683111916590647</c:v>
                </c:pt>
                <c:pt idx="234">
                  <c:v>0.7670076695695407</c:v>
                </c:pt>
                <c:pt idx="235">
                  <c:v>0.7655337967796414</c:v>
                </c:pt>
                <c:pt idx="236">
                  <c:v>0.76389002224529623</c:v>
                </c:pt>
                <c:pt idx="237">
                  <c:v>0.76207684667615216</c:v>
                </c:pt>
                <c:pt idx="238">
                  <c:v>0.76009482238305204</c:v>
                </c:pt>
                <c:pt idx="239">
                  <c:v>0.7579445531097958</c:v>
                </c:pt>
                <c:pt idx="240">
                  <c:v>0.7556266938492342</c:v>
                </c:pt>
                <c:pt idx="241">
                  <c:v>0.75314195064375178</c:v>
                </c:pt>
                <c:pt idx="242">
                  <c:v>0.75049108037019907</c:v>
                </c:pt>
                <c:pt idx="243">
                  <c:v>0.74767489050934077</c:v>
                </c:pt>
                <c:pt idx="244">
                  <c:v>0.74469423889988995</c:v>
                </c:pt>
                <c:pt idx="245">
                  <c:v>0.7415500334772005</c:v>
                </c:pt>
                <c:pt idx="246">
                  <c:v>0.7382432319967035</c:v>
                </c:pt>
                <c:pt idx="247">
                  <c:v>0.73477484174216312</c:v>
                </c:pt>
                <c:pt idx="248">
                  <c:v>0.73114591921884997</c:v>
                </c:pt>
                <c:pt idx="249">
                  <c:v>0.72735756983171906</c:v>
                </c:pt>
                <c:pt idx="250">
                  <c:v>0.72341094754869173</c:v>
                </c:pt>
                <c:pt idx="251">
                  <c:v>0.7193072545491479</c:v>
                </c:pt>
                <c:pt idx="252">
                  <c:v>0.71504774085772815</c:v>
                </c:pt>
                <c:pt idx="253">
                  <c:v>0.71063370396356584</c:v>
                </c:pt>
                <c:pt idx="254">
                  <c:v>0.70606648842505848</c:v>
                </c:pt>
                <c:pt idx="255">
                  <c:v>0.70134748546030301</c:v>
                </c:pt>
                <c:pt idx="256">
                  <c:v>0.69647813252331658</c:v>
                </c:pt>
                <c:pt idx="257">
                  <c:v>0.69145991286617392</c:v>
                </c:pt>
                <c:pt idx="258">
                  <c:v>0.68629435508719538</c:v>
                </c:pt>
                <c:pt idx="259">
                  <c:v>0.6809830326653199</c:v>
                </c:pt>
                <c:pt idx="260">
                  <c:v>0.67552756348080989</c:v>
                </c:pt>
                <c:pt idx="261">
                  <c:v>0.66992960932242684</c:v>
                </c:pt>
                <c:pt idx="262">
                  <c:v>0.664190875381236</c:v>
                </c:pt>
                <c:pt idx="263">
                  <c:v>0.65831310973118806</c:v>
                </c:pt>
                <c:pt idx="264">
                  <c:v>0.65229810279663958</c:v>
                </c:pt>
                <c:pt idx="265">
                  <c:v>0.64614768680697132</c:v>
                </c:pt>
                <c:pt idx="266">
                  <c:v>0.63986373523847417</c:v>
                </c:pt>
                <c:pt idx="267">
                  <c:v>0.63344816224366995</c:v>
                </c:pt>
                <c:pt idx="268">
                  <c:v>0.62690292206824161</c:v>
                </c:pt>
                <c:pt idx="269">
                  <c:v>0.62023000845575216</c:v>
                </c:pt>
                <c:pt idx="270">
                  <c:v>0.61343145404032984</c:v>
                </c:pt>
                <c:pt idx="271">
                  <c:v>0.60650932972750859</c:v>
                </c:pt>
                <c:pt idx="272">
                  <c:v>0.59946574406341002</c:v>
                </c:pt>
                <c:pt idx="273">
                  <c:v>0.59230284259246047</c:v>
                </c:pt>
                <c:pt idx="274">
                  <c:v>0.5850228072038367</c:v>
                </c:pt>
                <c:pt idx="275">
                  <c:v>0.57762785546684103</c:v>
                </c:pt>
                <c:pt idx="276">
                  <c:v>0.57012023995540928</c:v>
                </c:pt>
                <c:pt idx="277">
                  <c:v>0.56250224756195355</c:v>
                </c:pt>
                <c:pt idx="278">
                  <c:v>0.5547761988007549</c:v>
                </c:pt>
                <c:pt idx="279">
                  <c:v>0.54694444710110957</c:v>
                </c:pt>
                <c:pt idx="280">
                  <c:v>0.53900937809045302</c:v>
                </c:pt>
                <c:pt idx="281">
                  <c:v>0.53097340886767441</c:v>
                </c:pt>
                <c:pt idx="282">
                  <c:v>0.52283898726684574</c:v>
                </c:pt>
                <c:pt idx="283">
                  <c:v>0.51460859111158641</c:v>
                </c:pt>
                <c:pt idx="284">
                  <c:v>0.50628472746029496</c:v>
                </c:pt>
                <c:pt idx="285">
                  <c:v>0.4978699318424743</c:v>
                </c:pt>
                <c:pt idx="286">
                  <c:v>0.48936676748638541</c:v>
                </c:pt>
                <c:pt idx="287">
                  <c:v>0.48077782453826401</c:v>
                </c:pt>
                <c:pt idx="288">
                  <c:v>0.47210571927333456</c:v>
                </c:pt>
                <c:pt idx="289">
                  <c:v>0.46335309329886942</c:v>
                </c:pt>
                <c:pt idx="290">
                  <c:v>0.45452261274952843</c:v>
                </c:pt>
                <c:pt idx="291">
                  <c:v>0.44561696747523061</c:v>
                </c:pt>
                <c:pt idx="292">
                  <c:v>0.43663887022179715</c:v>
                </c:pt>
                <c:pt idx="293">
                  <c:v>0.42759105580462403</c:v>
                </c:pt>
                <c:pt idx="294">
                  <c:v>0.41847628027563094</c:v>
                </c:pt>
                <c:pt idx="295">
                  <c:v>0.40929732008374042</c:v>
                </c:pt>
                <c:pt idx="296">
                  <c:v>0.40005697122914641</c:v>
                </c:pt>
                <c:pt idx="297">
                  <c:v>0.39075804841162254</c:v>
                </c:pt>
                <c:pt idx="298">
                  <c:v>0.38140338417314024</c:v>
                </c:pt>
                <c:pt idx="299">
                  <c:v>0.37199582803504638</c:v>
                </c:pt>
                <c:pt idx="300">
                  <c:v>0.36253824563007475</c:v>
                </c:pt>
                <c:pt idx="301">
                  <c:v>0.35303351782944303</c:v>
                </c:pt>
                <c:pt idx="302">
                  <c:v>0.34348453986531369</c:v>
                </c:pt>
                <c:pt idx="303">
                  <c:v>0.33389422044887757</c:v>
                </c:pt>
                <c:pt idx="304">
                  <c:v>0.32426548088433205</c:v>
                </c:pt>
                <c:pt idx="305">
                  <c:v>0.31460125417902507</c:v>
                </c:pt>
                <c:pt idx="306">
                  <c:v>0.30490448415003008</c:v>
                </c:pt>
                <c:pt idx="307">
                  <c:v>0.29517812452743264</c:v>
                </c:pt>
                <c:pt idx="308">
                  <c:v>0.28542513805459457</c:v>
                </c:pt>
                <c:pt idx="309">
                  <c:v>0.27564849558567589</c:v>
                </c:pt>
                <c:pt idx="310">
                  <c:v>0.26585117518068069</c:v>
                </c:pt>
                <c:pt idx="311">
                  <c:v>0.25603616119831285</c:v>
                </c:pt>
                <c:pt idx="312">
                  <c:v>0.24620644338691169</c:v>
                </c:pt>
                <c:pt idx="313">
                  <c:v>0.23636501597374479</c:v>
                </c:pt>
                <c:pt idx="314">
                  <c:v>0.22651487675293916</c:v>
                </c:pt>
                <c:pt idx="315">
                  <c:v>0.21665902617232133</c:v>
                </c:pt>
                <c:pt idx="316">
                  <c:v>0.20680046641945396</c:v>
                </c:pt>
                <c:pt idx="317">
                  <c:v>0.19694220050713937</c:v>
                </c:pt>
                <c:pt idx="318">
                  <c:v>0.18708723135867464</c:v>
                </c:pt>
                <c:pt idx="319">
                  <c:v>0.17723856089312898</c:v>
                </c:pt>
                <c:pt idx="320">
                  <c:v>0.16739918911093241</c:v>
                </c:pt>
                <c:pt idx="321">
                  <c:v>0.15757211318004602</c:v>
                </c:pt>
                <c:pt idx="322">
                  <c:v>0.14776032652299495</c:v>
                </c:pt>
                <c:pt idx="323">
                  <c:v>0.13796681790504464</c:v>
                </c:pt>
                <c:pt idx="324">
                  <c:v>0.12819457052379157</c:v>
                </c:pt>
                <c:pt idx="325">
                  <c:v>0.11844656110045401</c:v>
                </c:pt>
                <c:pt idx="326">
                  <c:v>0.1087257589731328</c:v>
                </c:pt>
                <c:pt idx="327">
                  <c:v>9.9035125192324519E-2</c:v>
                </c:pt>
                <c:pt idx="328">
                  <c:v>8.9377611618953551E-2</c:v>
                </c:pt>
                <c:pt idx="329">
                  <c:v>7.97561600252088E-2</c:v>
                </c:pt>
                <c:pt idx="330">
                  <c:v>7.0173701198450733E-2</c:v>
                </c:pt>
                <c:pt idx="331">
                  <c:v>6.0633154048464977E-2</c:v>
                </c:pt>
                <c:pt idx="332">
                  <c:v>5.11374247183356E-2</c:v>
                </c:pt>
                <c:pt idx="333">
                  <c:v>4.1689405699203375E-2</c:v>
                </c:pt>
                <c:pt idx="334">
                  <c:v>3.2291974949186647E-2</c:v>
                </c:pt>
                <c:pt idx="335">
                  <c:v>2.2947995016726119E-2</c:v>
                </c:pt>
                <c:pt idx="336">
                  <c:v>1.3660312168627425E-2</c:v>
                </c:pt>
                <c:pt idx="337">
                  <c:v>4.4317555230574956E-3</c:v>
                </c:pt>
                <c:pt idx="338">
                  <c:v>-4.7348638122303999E-3</c:v>
                </c:pt>
                <c:pt idx="339">
                  <c:v>-1.3836753596187801E-2</c:v>
                </c:pt>
                <c:pt idx="340">
                  <c:v>-2.2871141305014941E-2</c:v>
                </c:pt>
                <c:pt idx="341">
                  <c:v>-3.1835274976696665E-2</c:v>
                </c:pt>
                <c:pt idx="342">
                  <c:v>-4.0726424049279564E-2</c:v>
                </c:pt>
                <c:pt idx="343">
                  <c:v>-4.9541880192625648E-2</c:v>
                </c:pt>
                <c:pt idx="344">
                  <c:v>-5.8278958133396813E-2</c:v>
                </c:pt>
                <c:pt idx="345">
                  <c:v>-6.6934996473013569E-2</c:v>
                </c:pt>
                <c:pt idx="346">
                  <c:v>-7.5507358498344973E-2</c:v>
                </c:pt>
                <c:pt idx="347">
                  <c:v>-8.3993432984875854E-2</c:v>
                </c:pt>
                <c:pt idx="348">
                  <c:v>-9.2390634992111281E-2</c:v>
                </c:pt>
                <c:pt idx="349">
                  <c:v>-0.10069640665097454</c:v>
                </c:pt>
                <c:pt idx="350">
                  <c:v>-0.10890821794295794</c:v>
                </c:pt>
                <c:pt idx="351">
                  <c:v>-0.11702356747079254</c:v>
                </c:pt>
                <c:pt idx="352">
                  <c:v>-0.12503998322039719</c:v>
                </c:pt>
                <c:pt idx="353">
                  <c:v>-0.13295502331387801</c:v>
                </c:pt>
                <c:pt idx="354">
                  <c:v>-0.1407662767533471</c:v>
                </c:pt>
                <c:pt idx="355">
                  <c:v>-0.14847136415533788</c:v>
                </c:pt>
                <c:pt idx="356">
                  <c:v>-0.15606793847558689</c:v>
                </c:pt>
                <c:pt idx="357">
                  <c:v>-0.16355368572396647</c:v>
                </c:pt>
                <c:pt idx="358">
                  <c:v>-0.17092632566934909</c:v>
                </c:pt>
                <c:pt idx="359">
                  <c:v>-0.17818361253418621</c:v>
                </c:pt>
                <c:pt idx="360">
                  <c:v>-0.18532333567859635</c:v>
                </c:pt>
              </c:numCache>
            </c:numRef>
          </c:xVal>
          <c:yVal>
            <c:numRef>
              <c:f>Tabelle3!$I$17:$I$377</c:f>
              <c:numCache>
                <c:formatCode>0.0</c:formatCode>
                <c:ptCount val="361"/>
                <c:pt idx="0">
                  <c:v>-0.18136083163946476</c:v>
                </c:pt>
                <c:pt idx="1">
                  <c:v>-0.1740677027709</c:v>
                </c:pt>
                <c:pt idx="2">
                  <c:v>-0.16665961710905691</c:v>
                </c:pt>
                <c:pt idx="3">
                  <c:v>-0.15913883122859196</c:v>
                </c:pt>
                <c:pt idx="4">
                  <c:v>-0.15150763603373973</c:v>
                </c:pt>
                <c:pt idx="5">
                  <c:v>-0.14376835606048172</c:v>
                </c:pt>
                <c:pt idx="6">
                  <c:v>-0.13592334876846979</c:v>
                </c:pt>
                <c:pt idx="7">
                  <c:v>-0.12797500382292143</c:v>
                </c:pt>
                <c:pt idx="8">
                  <c:v>-0.11992574236670439</c:v>
                </c:pt>
                <c:pt idx="9">
                  <c:v>-0.11177801628283313</c:v>
                </c:pt>
                <c:pt idx="10">
                  <c:v>-0.10353430744760167</c:v>
                </c:pt>
                <c:pt idx="11">
                  <c:v>-9.5197126974579771E-2</c:v>
                </c:pt>
                <c:pt idx="12">
                  <c:v>-8.6769014449703641E-2</c:v>
                </c:pt>
                <c:pt idx="13">
                  <c:v>-7.8252537157693258E-2</c:v>
                </c:pt>
                <c:pt idx="14">
                  <c:v>-6.9650289300032753E-2</c:v>
                </c:pt>
                <c:pt idx="15">
                  <c:v>-6.0964891204751459E-2</c:v>
                </c:pt>
                <c:pt idx="16">
                  <c:v>-5.2198988528246559E-2</c:v>
                </c:pt>
                <c:pt idx="17">
                  <c:v>-4.3355251449390286E-2</c:v>
                </c:pt>
                <c:pt idx="18">
                  <c:v>-3.4436373856168406E-2</c:v>
                </c:pt>
                <c:pt idx="19">
                  <c:v>-2.5445072525094703E-2</c:v>
                </c:pt>
                <c:pt idx="20">
                  <c:v>-1.6384086293655453E-2</c:v>
                </c:pt>
                <c:pt idx="21">
                  <c:v>-7.2561752260323631E-3</c:v>
                </c:pt>
                <c:pt idx="22">
                  <c:v>1.9358802276392695E-3</c:v>
                </c:pt>
                <c:pt idx="23">
                  <c:v>1.1189280078222757E-2</c:v>
                </c:pt>
                <c:pt idx="24">
                  <c:v>2.0501205650483995E-2</c:v>
                </c:pt>
                <c:pt idx="25">
                  <c:v>2.9868820441686983E-2</c:v>
                </c:pt>
                <c:pt idx="26">
                  <c:v>3.9289270985620156E-2</c:v>
                </c:pt>
                <c:pt idx="27">
                  <c:v>4.8759687721789902E-2</c:v>
                </c:pt>
                <c:pt idx="28">
                  <c:v>5.8277185869516496E-2</c:v>
                </c:pt>
                <c:pt idx="29">
                  <c:v>6.7838866306666024E-2</c:v>
                </c:pt>
                <c:pt idx="30">
                  <c:v>7.7441816452751056E-2</c:v>
                </c:pt>
                <c:pt idx="31">
                  <c:v>8.7083111156131571E-2</c:v>
                </c:pt>
                <c:pt idx="32">
                  <c:v>9.6759813585043319E-2</c:v>
                </c:pt>
                <c:pt idx="33">
                  <c:v>0.10646897612218623</c:v>
                </c:pt>
                <c:pt idx="34">
                  <c:v>0.11620764126259678</c:v>
                </c:pt>
                <c:pt idx="35">
                  <c:v>0.12597284251453245</c:v>
                </c:pt>
                <c:pt idx="36">
                  <c:v>0.13576160530309447</c:v>
                </c:pt>
                <c:pt idx="37">
                  <c:v>0.1455709478763115</c:v>
                </c:pt>
                <c:pt idx="38">
                  <c:v>0.1553978822134105</c:v>
                </c:pt>
                <c:pt idx="39">
                  <c:v>0.16523941493499661</c:v>
                </c:pt>
                <c:pt idx="40">
                  <c:v>0.17509254821486603</c:v>
                </c:pt>
                <c:pt idx="41">
                  <c:v>0.1849542806931721</c:v>
                </c:pt>
                <c:pt idx="42">
                  <c:v>0.1948216083906692</c:v>
                </c:pt>
                <c:pt idx="43">
                  <c:v>0.20469152562375376</c:v>
                </c:pt>
                <c:pt idx="44">
                  <c:v>0.21456102592002446</c:v>
                </c:pt>
                <c:pt idx="45">
                  <c:v>0.22442710293408319</c:v>
                </c:pt>
                <c:pt idx="46">
                  <c:v>0.23428675136329652</c:v>
                </c:pt>
                <c:pt idx="47">
                  <c:v>0.24413696786324041</c:v>
                </c:pt>
                <c:pt idx="48">
                  <c:v>0.25397475196254776</c:v>
                </c:pt>
                <c:pt idx="49">
                  <c:v>0.26379710697688125</c:v>
                </c:pt>
                <c:pt idx="50">
                  <c:v>0.27360104092175197</c:v>
                </c:pt>
                <c:pt idx="51">
                  <c:v>0.2833835674239078</c:v>
                </c:pt>
                <c:pt idx="52">
                  <c:v>0.29314170663101058</c:v>
                </c:pt>
                <c:pt idx="53">
                  <c:v>0.30287248611932849</c:v>
                </c:pt>
                <c:pt idx="54">
                  <c:v>0.3125729417991655</c:v>
                </c:pt>
                <c:pt idx="55">
                  <c:v>0.32224011881775083</c:v>
                </c:pt>
                <c:pt idx="56">
                  <c:v>0.33187107245931668</c:v>
                </c:pt>
                <c:pt idx="57">
                  <c:v>0.34146286904208673</c:v>
                </c:pt>
                <c:pt idx="58">
                  <c:v>0.35101258681190395</c:v>
                </c:pt>
                <c:pt idx="59">
                  <c:v>0.36051731683222554</c:v>
                </c:pt>
                <c:pt idx="60">
                  <c:v>0.36997416387021276</c:v>
                </c:pt>
                <c:pt idx="61">
                  <c:v>0.37938024727864761</c:v>
                </c:pt>
                <c:pt idx="62">
                  <c:v>0.38873270187340486</c:v>
                </c:pt>
                <c:pt idx="63">
                  <c:v>0.39802867880621579</c:v>
                </c:pt>
                <c:pt idx="64">
                  <c:v>0.40726534643245449</c:v>
                </c:pt>
                <c:pt idx="65">
                  <c:v>0.41643989117368435</c:v>
                </c:pt>
                <c:pt idx="66">
                  <c:v>0.4255495183747014</c:v>
                </c:pt>
                <c:pt idx="67">
                  <c:v>0.4345914531548134</c:v>
                </c:pt>
                <c:pt idx="68">
                  <c:v>0.44356294125309503</c:v>
                </c:pt>
                <c:pt idx="69">
                  <c:v>0.45246124986736258</c:v>
                </c:pt>
                <c:pt idx="70">
                  <c:v>0.46128366848661273</c:v>
                </c:pt>
                <c:pt idx="71">
                  <c:v>0.47002750971666896</c:v>
                </c:pt>
                <c:pt idx="72">
                  <c:v>0.47869011009878948</c:v>
                </c:pt>
                <c:pt idx="73">
                  <c:v>0.48726883092098117</c:v>
                </c:pt>
                <c:pt idx="74">
                  <c:v>0.49576105902177775</c:v>
                </c:pt>
                <c:pt idx="75">
                  <c:v>0.50416420758623348</c:v>
                </c:pt>
                <c:pt idx="76">
                  <c:v>0.51247571693389271</c:v>
                </c:pt>
                <c:pt idx="77">
                  <c:v>0.52069305529849264</c:v>
                </c:pt>
                <c:pt idx="78">
                  <c:v>0.52881371959916423</c:v>
                </c:pt>
                <c:pt idx="79">
                  <c:v>0.53683523620289497</c:v>
                </c:pt>
                <c:pt idx="80">
                  <c:v>0.54475516167802107</c:v>
                </c:pt>
                <c:pt idx="81">
                  <c:v>0.55257108353852091</c:v>
                </c:pt>
                <c:pt idx="82">
                  <c:v>0.56028062097888121</c:v>
                </c:pt>
                <c:pt idx="83">
                  <c:v>0.56788142559931354</c:v>
                </c:pt>
                <c:pt idx="84">
                  <c:v>0.57537118212109983</c:v>
                </c:pt>
                <c:pt idx="85">
                  <c:v>0.58274760909184897</c:v>
                </c:pt>
                <c:pt idx="86">
                  <c:v>0.59000845958044834</c:v>
                </c:pt>
                <c:pt idx="87">
                  <c:v>0.59715152186150167</c:v>
                </c:pt>
                <c:pt idx="88">
                  <c:v>0.60417462008904199</c:v>
                </c:pt>
                <c:pt idx="89">
                  <c:v>0.61107561495931462</c:v>
                </c:pt>
                <c:pt idx="90">
                  <c:v>0.61785240436243083</c:v>
                </c:pt>
                <c:pt idx="91">
                  <c:v>0.62450292402269003</c:v>
                </c:pt>
                <c:pt idx="92">
                  <c:v>0.63102514812737898</c:v>
                </c:pt>
                <c:pt idx="93">
                  <c:v>0.63741708994385271</c:v>
                </c:pt>
                <c:pt idx="94">
                  <c:v>0.64367680242471426</c:v>
                </c:pt>
                <c:pt idx="95">
                  <c:v>0.64980237880090252</c:v>
                </c:pt>
                <c:pt idx="96">
                  <c:v>0.6557919531625136</c:v>
                </c:pt>
                <c:pt idx="97">
                  <c:v>0.66164370102717451</c:v>
                </c:pt>
                <c:pt idx="98">
                  <c:v>0.66735583989579883</c:v>
                </c:pt>
                <c:pt idx="99">
                  <c:v>0.67292662979555207</c:v>
                </c:pt>
                <c:pt idx="100">
                  <c:v>0.67835437380986541</c:v>
                </c:pt>
                <c:pt idx="101">
                  <c:v>0.68363741859533245</c:v>
                </c:pt>
                <c:pt idx="102">
                  <c:v>0.68877415488533367</c:v>
                </c:pt>
                <c:pt idx="103">
                  <c:v>0.6937630179802341</c:v>
                </c:pt>
                <c:pt idx="104">
                  <c:v>0.69860248822400717</c:v>
                </c:pt>
                <c:pt idx="105">
                  <c:v>0.70329109146713531</c:v>
                </c:pt>
                <c:pt idx="106">
                  <c:v>0.70782739951565132</c:v>
                </c:pt>
                <c:pt idx="107">
                  <c:v>0.71221003056617949</c:v>
                </c:pt>
                <c:pt idx="108">
                  <c:v>0.71643764962684608</c:v>
                </c:pt>
                <c:pt idx="109">
                  <c:v>0.72050896892393179</c:v>
                </c:pt>
                <c:pt idx="110">
                  <c:v>0.72442274829413855</c:v>
                </c:pt>
                <c:pt idx="111">
                  <c:v>0.72817779556235662</c:v>
                </c:pt>
                <c:pt idx="112">
                  <c:v>0.73177296690481242</c:v>
                </c:pt>
                <c:pt idx="113">
                  <c:v>0.73520716719748735</c:v>
                </c:pt>
                <c:pt idx="114">
                  <c:v>0.73847935034970491</c:v>
                </c:pt>
                <c:pt idx="115">
                  <c:v>0.74158851962277827</c:v>
                </c:pt>
                <c:pt idx="116">
                  <c:v>0.74453372793362793</c:v>
                </c:pt>
                <c:pt idx="117">
                  <c:v>0.74731407814327111</c:v>
                </c:pt>
                <c:pt idx="118">
                  <c:v>0.74992872333010063</c:v>
                </c:pt>
                <c:pt idx="119">
                  <c:v>0.75237686704786344</c:v>
                </c:pt>
                <c:pt idx="120">
                  <c:v>0.75465776356826764</c:v>
                </c:pt>
                <c:pt idx="121">
                  <c:v>0.75677071810813767</c:v>
                </c:pt>
                <c:pt idx="122">
                  <c:v>0.75871508704105184</c:v>
                </c:pt>
                <c:pt idx="123">
                  <c:v>0.76049027809339775</c:v>
                </c:pt>
                <c:pt idx="124">
                  <c:v>0.76209575052478429</c:v>
                </c:pt>
                <c:pt idx="125">
                  <c:v>0.76353101529275613</c:v>
                </c:pt>
                <c:pt idx="126">
                  <c:v>0.7647956352017613</c:v>
                </c:pt>
                <c:pt idx="127">
                  <c:v>0.76588922503632484</c:v>
                </c:pt>
                <c:pt idx="128">
                  <c:v>0.76681145167838938</c:v>
                </c:pt>
                <c:pt idx="129">
                  <c:v>0.76756203420878588</c:v>
                </c:pt>
                <c:pt idx="130">
                  <c:v>0.76814074399280452</c:v>
                </c:pt>
                <c:pt idx="131">
                  <c:v>0.76854740474983896</c:v>
                </c:pt>
                <c:pt idx="132">
                  <c:v>0.76878189260708329</c:v>
                </c:pt>
                <c:pt idx="133">
                  <c:v>0.76884413613726443</c:v>
                </c:pt>
                <c:pt idx="134">
                  <c:v>0.76873411638040057</c:v>
                </c:pt>
                <c:pt idx="135">
                  <c:v>0.768451866849575</c:v>
                </c:pt>
                <c:pt idx="136">
                  <c:v>0.76799747352072922</c:v>
                </c:pt>
                <c:pt idx="137">
                  <c:v>0.76737107480647304</c:v>
                </c:pt>
                <c:pt idx="138">
                  <c:v>0.76657286151392268</c:v>
                </c:pt>
                <c:pt idx="139">
                  <c:v>0.76560307678657979</c:v>
                </c:pt>
                <c:pt idx="140">
                  <c:v>0.76446201603026664</c:v>
                </c:pt>
                <c:pt idx="141">
                  <c:v>0.76315002682314337</c:v>
                </c:pt>
                <c:pt idx="142">
                  <c:v>0.76166750880983192</c:v>
                </c:pt>
                <c:pt idx="143">
                  <c:v>0.76001491357968076</c:v>
                </c:pt>
                <c:pt idx="144">
                  <c:v>0.75819274452920604</c:v>
                </c:pt>
                <c:pt idx="145">
                  <c:v>0.756201556708752</c:v>
                </c:pt>
                <c:pt idx="146">
                  <c:v>0.75404195665341822</c:v>
                </c:pt>
                <c:pt idx="147">
                  <c:v>0.75171460219830188</c:v>
                </c:pt>
                <c:pt idx="148">
                  <c:v>0.74922020227811537</c:v>
                </c:pt>
                <c:pt idx="149">
                  <c:v>0.74655951671123877</c:v>
                </c:pt>
                <c:pt idx="150">
                  <c:v>0.74373335596826973</c:v>
                </c:pt>
                <c:pt idx="151">
                  <c:v>0.74074258092514866</c:v>
                </c:pt>
                <c:pt idx="152">
                  <c:v>0.73758810260092567</c:v>
                </c:pt>
                <c:pt idx="153">
                  <c:v>0.73427088188025669</c:v>
                </c:pt>
                <c:pt idx="154">
                  <c:v>0.73079192922070768</c:v>
                </c:pt>
                <c:pt idx="155">
                  <c:v>0.72715230434496014</c:v>
                </c:pt>
                <c:pt idx="156">
                  <c:v>0.72335311591800933</c:v>
                </c:pt>
                <c:pt idx="157">
                  <c:v>0.71939552120945316</c:v>
                </c:pt>
                <c:pt idx="158">
                  <c:v>0.71528072574097834</c:v>
                </c:pt>
                <c:pt idx="159">
                  <c:v>0.71100998291914541</c:v>
                </c:pt>
                <c:pt idx="160">
                  <c:v>0.7065845936535895</c:v>
                </c:pt>
                <c:pt idx="161">
                  <c:v>0.70200590596075041</c:v>
                </c:pt>
                <c:pt idx="162">
                  <c:v>0.69727531455325442</c:v>
                </c:pt>
                <c:pt idx="163">
                  <c:v>0.69239426041507035</c:v>
                </c:pt>
                <c:pt idx="164">
                  <c:v>0.68736423036257266</c:v>
                </c:pt>
                <c:pt idx="165">
                  <c:v>0.68218675659164218</c:v>
                </c:pt>
                <c:pt idx="166">
                  <c:v>0.67686341621094481</c:v>
                </c:pt>
                <c:pt idx="167">
                  <c:v>0.67139583076152909</c:v>
                </c:pt>
                <c:pt idx="168">
                  <c:v>0.66578566572288855</c:v>
                </c:pt>
                <c:pt idx="169">
                  <c:v>0.66003463000564067</c:v>
                </c:pt>
                <c:pt idx="170">
                  <c:v>0.65414447543097642</c:v>
                </c:pt>
                <c:pt idx="171">
                  <c:v>0.64811699619703889</c:v>
                </c:pt>
                <c:pt idx="172">
                  <c:v>0.64195402833239168</c:v>
                </c:pt>
                <c:pt idx="173">
                  <c:v>0.63565744913674893</c:v>
                </c:pt>
                <c:pt idx="174">
                  <c:v>0.62922917660912958</c:v>
                </c:pt>
                <c:pt idx="175">
                  <c:v>0.62267116886361751</c:v>
                </c:pt>
                <c:pt idx="176">
                  <c:v>0.61598542353290131</c:v>
                </c:pt>
                <c:pt idx="177">
                  <c:v>0.6091739771597745</c:v>
                </c:pt>
                <c:pt idx="178">
                  <c:v>0.60223890457678675</c:v>
                </c:pt>
                <c:pt idx="179">
                  <c:v>0.59518231827422796</c:v>
                </c:pt>
                <c:pt idx="180">
                  <c:v>0.58800636775664494</c:v>
                </c:pt>
                <c:pt idx="181">
                  <c:v>0.58071323888808002</c:v>
                </c:pt>
                <c:pt idx="182">
                  <c:v>0.5733051532262371</c:v>
                </c:pt>
                <c:pt idx="183">
                  <c:v>0.5657843673457722</c:v>
                </c:pt>
                <c:pt idx="184">
                  <c:v>0.55815317215091986</c:v>
                </c:pt>
                <c:pt idx="185">
                  <c:v>0.55041389217766201</c:v>
                </c:pt>
                <c:pt idx="186">
                  <c:v>0.54256888488564992</c:v>
                </c:pt>
                <c:pt idx="187">
                  <c:v>0.53462053994010161</c:v>
                </c:pt>
                <c:pt idx="188">
                  <c:v>0.52657127848388452</c:v>
                </c:pt>
                <c:pt idx="189">
                  <c:v>0.51842355240001337</c:v>
                </c:pt>
                <c:pt idx="190">
                  <c:v>0.51017984356478174</c:v>
                </c:pt>
                <c:pt idx="191">
                  <c:v>0.50184266309175996</c:v>
                </c:pt>
                <c:pt idx="192">
                  <c:v>0.49341455056688366</c:v>
                </c:pt>
                <c:pt idx="193">
                  <c:v>0.48489807327487339</c:v>
                </c:pt>
                <c:pt idx="194">
                  <c:v>0.47629582541721299</c:v>
                </c:pt>
                <c:pt idx="195">
                  <c:v>0.46761042732193159</c:v>
                </c:pt>
                <c:pt idx="196">
                  <c:v>0.45884452464542674</c:v>
                </c:pt>
                <c:pt idx="197">
                  <c:v>0.45000078756657041</c:v>
                </c:pt>
                <c:pt idx="198">
                  <c:v>0.44108190997334862</c:v>
                </c:pt>
                <c:pt idx="199">
                  <c:v>0.43209060864227478</c:v>
                </c:pt>
                <c:pt idx="200">
                  <c:v>0.42302962241083564</c:v>
                </c:pt>
                <c:pt idx="201">
                  <c:v>0.41390171134321241</c:v>
                </c:pt>
                <c:pt idx="202">
                  <c:v>0.40470965588954089</c:v>
                </c:pt>
                <c:pt idx="203">
                  <c:v>0.3954562560389574</c:v>
                </c:pt>
                <c:pt idx="204">
                  <c:v>0.38614433046669616</c:v>
                </c:pt>
                <c:pt idx="205">
                  <c:v>0.3767767156754932</c:v>
                </c:pt>
                <c:pt idx="206">
                  <c:v>0.36735626513155994</c:v>
                </c:pt>
                <c:pt idx="207">
                  <c:v>0.35788584839539023</c:v>
                </c:pt>
                <c:pt idx="208">
                  <c:v>0.34836835024766355</c:v>
                </c:pt>
                <c:pt idx="209">
                  <c:v>0.33880666981051422</c:v>
                </c:pt>
                <c:pt idx="210">
                  <c:v>0.32920371966442896</c:v>
                </c:pt>
                <c:pt idx="211">
                  <c:v>0.31956242496104859</c:v>
                </c:pt>
                <c:pt idx="212">
                  <c:v>0.30988572253213692</c:v>
                </c:pt>
                <c:pt idx="213">
                  <c:v>0.30017655999499393</c:v>
                </c:pt>
                <c:pt idx="214">
                  <c:v>0.29043789485458349</c:v>
                </c:pt>
                <c:pt idx="215">
                  <c:v>0.28067269360264757</c:v>
                </c:pt>
                <c:pt idx="216">
                  <c:v>0.27088393081408574</c:v>
                </c:pt>
                <c:pt idx="217">
                  <c:v>0.26107458824086854</c:v>
                </c:pt>
                <c:pt idx="218">
                  <c:v>0.25124765390376974</c:v>
                </c:pt>
                <c:pt idx="219">
                  <c:v>0.24140612118218335</c:v>
                </c:pt>
                <c:pt idx="220">
                  <c:v>0.2315529879023141</c:v>
                </c:pt>
                <c:pt idx="221">
                  <c:v>0.22169125542400814</c:v>
                </c:pt>
                <c:pt idx="222">
                  <c:v>0.21182392772651093</c:v>
                </c:pt>
                <c:pt idx="223">
                  <c:v>0.20195401049342637</c:v>
                </c:pt>
                <c:pt idx="224">
                  <c:v>0.19208451019715556</c:v>
                </c:pt>
                <c:pt idx="225">
                  <c:v>0.18221843318309699</c:v>
                </c:pt>
                <c:pt idx="226">
                  <c:v>0.17235878475388355</c:v>
                </c:pt>
                <c:pt idx="227">
                  <c:v>0.16250856825393978</c:v>
                </c:pt>
                <c:pt idx="228">
                  <c:v>0.15267078415463226</c:v>
                </c:pt>
                <c:pt idx="229">
                  <c:v>0.14284842914029888</c:v>
                </c:pt>
                <c:pt idx="230">
                  <c:v>0.13304449519542821</c:v>
                </c:pt>
                <c:pt idx="231">
                  <c:v>0.12326196869327252</c:v>
                </c:pt>
                <c:pt idx="232">
                  <c:v>0.11350382948616941</c:v>
                </c:pt>
                <c:pt idx="233">
                  <c:v>0.10377304999785156</c:v>
                </c:pt>
                <c:pt idx="234">
                  <c:v>9.4072594318014735E-2</c:v>
                </c:pt>
                <c:pt idx="235">
                  <c:v>8.4405417299429436E-2</c:v>
                </c:pt>
                <c:pt idx="236">
                  <c:v>7.4774463657863277E-2</c:v>
                </c:pt>
                <c:pt idx="237">
                  <c:v>6.5182667075093376E-2</c:v>
                </c:pt>
                <c:pt idx="238">
                  <c:v>5.5632949305276208E-2</c:v>
                </c:pt>
                <c:pt idx="239">
                  <c:v>4.6128219284954808E-2</c:v>
                </c:pt>
                <c:pt idx="240">
                  <c:v>3.6671372246967621E-2</c:v>
                </c:pt>
                <c:pt idx="241">
                  <c:v>2.7265288838532381E-2</c:v>
                </c:pt>
                <c:pt idx="242">
                  <c:v>1.7912834243775239E-2</c:v>
                </c:pt>
                <c:pt idx="243">
                  <c:v>8.6168573109643709E-3</c:v>
                </c:pt>
                <c:pt idx="244">
                  <c:v>-6.1981031527408303E-4</c:v>
                </c:pt>
                <c:pt idx="245">
                  <c:v>-9.7943550565043336E-3</c:v>
                </c:pt>
                <c:pt idx="246">
                  <c:v>-1.8903982257521351E-2</c:v>
                </c:pt>
                <c:pt idx="247">
                  <c:v>-2.7945917037633217E-2</c:v>
                </c:pt>
                <c:pt idx="248">
                  <c:v>-3.6917405135914683E-2</c:v>
                </c:pt>
                <c:pt idx="249">
                  <c:v>-4.581571375018223E-2</c:v>
                </c:pt>
                <c:pt idx="250">
                  <c:v>-5.4638132369432713E-2</c:v>
                </c:pt>
                <c:pt idx="251">
                  <c:v>-6.338197359948905E-2</c:v>
                </c:pt>
                <c:pt idx="252">
                  <c:v>-7.204457398160935E-2</c:v>
                </c:pt>
                <c:pt idx="253">
                  <c:v>-8.0623294803800816E-2</c:v>
                </c:pt>
                <c:pt idx="254">
                  <c:v>-8.9115522904597733E-2</c:v>
                </c:pt>
                <c:pt idx="255">
                  <c:v>-9.7518671469053408E-2</c:v>
                </c:pt>
                <c:pt idx="256">
                  <c:v>-0.10583018081671253</c:v>
                </c:pt>
                <c:pt idx="257">
                  <c:v>-0.1140475191813124</c:v>
                </c:pt>
                <c:pt idx="258">
                  <c:v>-0.12216818348198399</c:v>
                </c:pt>
                <c:pt idx="259">
                  <c:v>-0.13018970008571495</c:v>
                </c:pt>
                <c:pt idx="260">
                  <c:v>-0.13810962556084105</c:v>
                </c:pt>
                <c:pt idx="261">
                  <c:v>-0.14592554742134073</c:v>
                </c:pt>
                <c:pt idx="262">
                  <c:v>-0.15363508486170091</c:v>
                </c:pt>
                <c:pt idx="263">
                  <c:v>-0.16123588948213352</c:v>
                </c:pt>
                <c:pt idx="264">
                  <c:v>-0.16872564600391993</c:v>
                </c:pt>
                <c:pt idx="265">
                  <c:v>-0.17610207297466879</c:v>
                </c:pt>
                <c:pt idx="266">
                  <c:v>-0.1833629234632681</c:v>
                </c:pt>
                <c:pt idx="267">
                  <c:v>-0.19050598574432143</c:v>
                </c:pt>
                <c:pt idx="268">
                  <c:v>-0.19752908397186197</c:v>
                </c:pt>
                <c:pt idx="269">
                  <c:v>-0.20443007884213449</c:v>
                </c:pt>
                <c:pt idx="270">
                  <c:v>-0.21120686824525065</c:v>
                </c:pt>
                <c:pt idx="271">
                  <c:v>-0.21785738790550979</c:v>
                </c:pt>
                <c:pt idx="272">
                  <c:v>-0.22437961201019896</c:v>
                </c:pt>
                <c:pt idx="273">
                  <c:v>-0.23077155382667269</c:v>
                </c:pt>
                <c:pt idx="274">
                  <c:v>-0.23703126630753418</c:v>
                </c:pt>
                <c:pt idx="275">
                  <c:v>-0.24315684268372229</c:v>
                </c:pt>
                <c:pt idx="276">
                  <c:v>-0.24914641704533336</c:v>
                </c:pt>
                <c:pt idx="277">
                  <c:v>-0.25499816490999455</c:v>
                </c:pt>
                <c:pt idx="278">
                  <c:v>-0.2607103037786187</c:v>
                </c:pt>
                <c:pt idx="279">
                  <c:v>-0.26628109367837183</c:v>
                </c:pt>
                <c:pt idx="280">
                  <c:v>-0.27170883769268522</c:v>
                </c:pt>
                <c:pt idx="281">
                  <c:v>-0.27699188247815254</c:v>
                </c:pt>
                <c:pt idx="282">
                  <c:v>-0.28212861876815354</c:v>
                </c:pt>
                <c:pt idx="283">
                  <c:v>-0.28711748186305397</c:v>
                </c:pt>
                <c:pt idx="284">
                  <c:v>-0.29195695210682687</c:v>
                </c:pt>
                <c:pt idx="285">
                  <c:v>-0.29664555534995507</c:v>
                </c:pt>
                <c:pt idx="286">
                  <c:v>-0.30118186339847131</c:v>
                </c:pt>
                <c:pt idx="287">
                  <c:v>-0.30556449444899936</c:v>
                </c:pt>
                <c:pt idx="288">
                  <c:v>-0.30979211350966596</c:v>
                </c:pt>
                <c:pt idx="289">
                  <c:v>-0.31386343280675155</c:v>
                </c:pt>
                <c:pt idx="290">
                  <c:v>-0.31777721217695853</c:v>
                </c:pt>
                <c:pt idx="291">
                  <c:v>-0.3215322594451766</c:v>
                </c:pt>
                <c:pt idx="292">
                  <c:v>-0.32512743078763218</c:v>
                </c:pt>
                <c:pt idx="293">
                  <c:v>-0.32856163108030723</c:v>
                </c:pt>
                <c:pt idx="294">
                  <c:v>-0.33183381423252478</c:v>
                </c:pt>
                <c:pt idx="295">
                  <c:v>-0.33494298350559826</c:v>
                </c:pt>
                <c:pt idx="296">
                  <c:v>-0.3378881918164478</c:v>
                </c:pt>
                <c:pt idx="297">
                  <c:v>-0.34066854202609098</c:v>
                </c:pt>
                <c:pt idx="298">
                  <c:v>-0.34328318721292028</c:v>
                </c:pt>
                <c:pt idx="299">
                  <c:v>-0.34573133093068331</c:v>
                </c:pt>
                <c:pt idx="300">
                  <c:v>-0.34801222745108762</c:v>
                </c:pt>
                <c:pt idx="301">
                  <c:v>-0.35012518199095755</c:v>
                </c:pt>
                <c:pt idx="302">
                  <c:v>-0.35206955092387171</c:v>
                </c:pt>
                <c:pt idx="303">
                  <c:v>-0.35384474197621762</c:v>
                </c:pt>
                <c:pt idx="304">
                  <c:v>-0.35545021440760416</c:v>
                </c:pt>
                <c:pt idx="305">
                  <c:v>-0.356885479175576</c:v>
                </c:pt>
                <c:pt idx="306">
                  <c:v>-0.35815009908458117</c:v>
                </c:pt>
                <c:pt idx="307">
                  <c:v>-0.35924368891914471</c:v>
                </c:pt>
                <c:pt idx="308">
                  <c:v>-0.36016591556120936</c:v>
                </c:pt>
                <c:pt idx="309">
                  <c:v>-0.36091649809160564</c:v>
                </c:pt>
                <c:pt idx="310">
                  <c:v>-0.36149520787562439</c:v>
                </c:pt>
                <c:pt idx="311">
                  <c:v>-0.36190186863265883</c:v>
                </c:pt>
                <c:pt idx="312">
                  <c:v>-0.36213635648990317</c:v>
                </c:pt>
                <c:pt idx="313">
                  <c:v>-0.36219860002008442</c:v>
                </c:pt>
                <c:pt idx="314">
                  <c:v>-0.36208858026322044</c:v>
                </c:pt>
                <c:pt idx="315">
                  <c:v>-0.36180633073239488</c:v>
                </c:pt>
                <c:pt idx="316">
                  <c:v>-0.36135193740354921</c:v>
                </c:pt>
                <c:pt idx="317">
                  <c:v>-0.36072553868929291</c:v>
                </c:pt>
                <c:pt idx="318">
                  <c:v>-0.35992732539674255</c:v>
                </c:pt>
                <c:pt idx="319">
                  <c:v>-0.35895754066939967</c:v>
                </c:pt>
                <c:pt idx="320">
                  <c:v>-0.35781647991308652</c:v>
                </c:pt>
                <c:pt idx="321">
                  <c:v>-0.35650449070596324</c:v>
                </c:pt>
                <c:pt idx="322">
                  <c:v>-0.35502197269265179</c:v>
                </c:pt>
                <c:pt idx="323">
                  <c:v>-0.35336937746250063</c:v>
                </c:pt>
                <c:pt idx="324">
                  <c:v>-0.35154720841202591</c:v>
                </c:pt>
                <c:pt idx="325">
                  <c:v>-0.34955602059157198</c:v>
                </c:pt>
                <c:pt idx="326">
                  <c:v>-0.34739642053623798</c:v>
                </c:pt>
                <c:pt idx="327">
                  <c:v>-0.34506906608112164</c:v>
                </c:pt>
                <c:pt idx="328">
                  <c:v>-0.34257466616093535</c:v>
                </c:pt>
                <c:pt idx="329">
                  <c:v>-0.33991398059405864</c:v>
                </c:pt>
                <c:pt idx="330">
                  <c:v>-0.33708781985108971</c:v>
                </c:pt>
                <c:pt idx="331">
                  <c:v>-0.33409704480796842</c:v>
                </c:pt>
                <c:pt idx="332">
                  <c:v>-0.33094256648374554</c:v>
                </c:pt>
                <c:pt idx="333">
                  <c:v>-0.32762534576307656</c:v>
                </c:pt>
                <c:pt idx="334">
                  <c:v>-0.32414639310352755</c:v>
                </c:pt>
                <c:pt idx="335">
                  <c:v>-0.32050676822778001</c:v>
                </c:pt>
                <c:pt idx="336">
                  <c:v>-0.31670757980082909</c:v>
                </c:pt>
                <c:pt idx="337">
                  <c:v>-0.31274998509227314</c:v>
                </c:pt>
                <c:pt idx="338">
                  <c:v>-0.30863518962379832</c:v>
                </c:pt>
                <c:pt idx="339">
                  <c:v>-0.30436444680196528</c:v>
                </c:pt>
                <c:pt idx="340">
                  <c:v>-0.29993905753640926</c:v>
                </c:pt>
                <c:pt idx="341">
                  <c:v>-0.29536036984357034</c:v>
                </c:pt>
                <c:pt idx="342">
                  <c:v>-0.2906297784360744</c:v>
                </c:pt>
                <c:pt idx="343">
                  <c:v>-0.28574872429789039</c:v>
                </c:pt>
                <c:pt idx="344">
                  <c:v>-0.28071869424539247</c:v>
                </c:pt>
                <c:pt idx="345">
                  <c:v>-0.275541220474462</c:v>
                </c:pt>
                <c:pt idx="346">
                  <c:v>-0.2702178800937648</c:v>
                </c:pt>
                <c:pt idx="347">
                  <c:v>-0.26475029464434907</c:v>
                </c:pt>
                <c:pt idx="348">
                  <c:v>-0.25914012960570854</c:v>
                </c:pt>
                <c:pt idx="349">
                  <c:v>-0.25338909388846043</c:v>
                </c:pt>
                <c:pt idx="350">
                  <c:v>-0.24749893931379641</c:v>
                </c:pt>
                <c:pt idx="351">
                  <c:v>-0.24147146007985876</c:v>
                </c:pt>
                <c:pt idx="352">
                  <c:v>-0.23530849221521183</c:v>
                </c:pt>
                <c:pt idx="353">
                  <c:v>-0.22901191301956864</c:v>
                </c:pt>
                <c:pt idx="354">
                  <c:v>-0.22258364049194934</c:v>
                </c:pt>
                <c:pt idx="355">
                  <c:v>-0.21602563274643749</c:v>
                </c:pt>
                <c:pt idx="356">
                  <c:v>-0.20933988741572124</c:v>
                </c:pt>
                <c:pt idx="357">
                  <c:v>-0.2025284410425946</c:v>
                </c:pt>
                <c:pt idx="358">
                  <c:v>-0.19559336845960651</c:v>
                </c:pt>
                <c:pt idx="359">
                  <c:v>-0.18853678215704789</c:v>
                </c:pt>
                <c:pt idx="360">
                  <c:v>-0.18136083163946487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565312"/>
        <c:axId val="71566848"/>
      </c:scatterChart>
      <c:valAx>
        <c:axId val="71565312"/>
        <c:scaling>
          <c:orientation val="minMax"/>
          <c:max val="1"/>
          <c:min val="-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1566848"/>
        <c:crosses val="autoZero"/>
        <c:crossBetween val="midCat"/>
        <c:majorUnit val="0.1"/>
      </c:valAx>
      <c:valAx>
        <c:axId val="71566848"/>
        <c:scaling>
          <c:orientation val="minMax"/>
          <c:max val="1"/>
          <c:min val="-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1565312"/>
        <c:crosses val="autoZero"/>
        <c:crossBetween val="midCat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5.png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jpg"/><Relationship Id="rId4" Type="http://schemas.openxmlformats.org/officeDocument/2006/relationships/image" Target="../media/image11.png"/><Relationship Id="rId9" Type="http://schemas.openxmlformats.org/officeDocument/2006/relationships/image" Target="../media/image1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761999</xdr:colOff>
      <xdr:row>9</xdr:row>
      <xdr:rowOff>28575</xdr:rowOff>
    </xdr:from>
    <xdr:to>
      <xdr:col>6</xdr:col>
      <xdr:colOff>638174</xdr:colOff>
      <xdr:row>19</xdr:row>
      <xdr:rowOff>85725</xdr:rowOff>
    </xdr:to>
    <xdr:graphicFrame macro="">
      <xdr:nvGraphicFramePr>
        <xdr:cNvPr id="6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47625</xdr:colOff>
      <xdr:row>9</xdr:row>
      <xdr:rowOff>19050</xdr:rowOff>
    </xdr:from>
    <xdr:to>
      <xdr:col>9</xdr:col>
      <xdr:colOff>647700</xdr:colOff>
      <xdr:row>19</xdr:row>
      <xdr:rowOff>76200</xdr:rowOff>
    </xdr:to>
    <xdr:graphicFrame macro="">
      <xdr:nvGraphicFramePr>
        <xdr:cNvPr id="7" name="Diagram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21</xdr:row>
      <xdr:rowOff>114300</xdr:rowOff>
    </xdr:from>
    <xdr:to>
      <xdr:col>9</xdr:col>
      <xdr:colOff>628649</xdr:colOff>
      <xdr:row>44</xdr:row>
      <xdr:rowOff>133350</xdr:rowOff>
    </xdr:to>
    <xdr:graphicFrame macro="">
      <xdr:nvGraphicFramePr>
        <xdr:cNvPr id="31" name="Diagramm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1304926</xdr:colOff>
      <xdr:row>15</xdr:row>
      <xdr:rowOff>19050</xdr:rowOff>
    </xdr:from>
    <xdr:to>
      <xdr:col>1</xdr:col>
      <xdr:colOff>1666876</xdr:colOff>
      <xdr:row>16</xdr:row>
      <xdr:rowOff>180975</xdr:rowOff>
    </xdr:to>
    <xdr:sp macro="" textlink="">
      <xdr:nvSpPr>
        <xdr:cNvPr id="9" name="Ellipse 8"/>
        <xdr:cNvSpPr/>
      </xdr:nvSpPr>
      <xdr:spPr>
        <a:xfrm>
          <a:off x="2495551" y="2114550"/>
          <a:ext cx="361950" cy="352425"/>
        </a:xfrm>
        <a:prstGeom prst="ellipse">
          <a:avLst/>
        </a:prstGeom>
        <a:solidFill>
          <a:srgbClr val="FFFF00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</xdr:col>
      <xdr:colOff>1295400</xdr:colOff>
      <xdr:row>33</xdr:row>
      <xdr:rowOff>28574</xdr:rowOff>
    </xdr:from>
    <xdr:to>
      <xdr:col>1</xdr:col>
      <xdr:colOff>1657350</xdr:colOff>
      <xdr:row>35</xdr:row>
      <xdr:rowOff>25399</xdr:rowOff>
    </xdr:to>
    <xdr:sp macro="" textlink="">
      <xdr:nvSpPr>
        <xdr:cNvPr id="34" name="Ellipse 33"/>
        <xdr:cNvSpPr/>
      </xdr:nvSpPr>
      <xdr:spPr>
        <a:xfrm>
          <a:off x="2819400" y="6797674"/>
          <a:ext cx="361950" cy="377825"/>
        </a:xfrm>
        <a:prstGeom prst="ellipse">
          <a:avLst/>
        </a:prstGeom>
        <a:solidFill>
          <a:srgbClr val="FFC000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9</xdr:col>
      <xdr:colOff>790575</xdr:colOff>
      <xdr:row>9</xdr:row>
      <xdr:rowOff>0</xdr:rowOff>
    </xdr:from>
    <xdr:to>
      <xdr:col>19</xdr:col>
      <xdr:colOff>0</xdr:colOff>
      <xdr:row>44</xdr:row>
      <xdr:rowOff>133350</xdr:rowOff>
    </xdr:to>
    <xdr:grpSp>
      <xdr:nvGrpSpPr>
        <xdr:cNvPr id="10" name="Gruppieren 9"/>
        <xdr:cNvGrpSpPr/>
      </xdr:nvGrpSpPr>
      <xdr:grpSpPr>
        <a:xfrm>
          <a:off x="9248775" y="1905000"/>
          <a:ext cx="7312025" cy="7143750"/>
          <a:chOff x="9248775" y="1905000"/>
          <a:chExt cx="7312025" cy="7143750"/>
        </a:xfrm>
      </xdr:grpSpPr>
      <xdr:graphicFrame macro="">
        <xdr:nvGraphicFramePr>
          <xdr:cNvPr id="13" name="Diagramm 12"/>
          <xdr:cNvGraphicFramePr>
            <a:graphicFrameLocks/>
          </xdr:cNvGraphicFramePr>
        </xdr:nvGraphicFramePr>
        <xdr:xfrm>
          <a:off x="9248775" y="1905000"/>
          <a:ext cx="7312025" cy="71437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3" name="Ellipse 2"/>
          <xdr:cNvSpPr/>
        </xdr:nvSpPr>
        <xdr:spPr>
          <a:xfrm>
            <a:off x="10926631" y="3597785"/>
            <a:ext cx="3963442" cy="3741431"/>
          </a:xfrm>
          <a:prstGeom prst="ellipse">
            <a:avLst/>
          </a:prstGeom>
          <a:noFill/>
          <a:ln w="3175">
            <a:solidFill>
              <a:schemeClr val="tx1"/>
            </a:solidFill>
            <a:prstDash val="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5" name="Ellipse 4"/>
          <xdr:cNvSpPr/>
        </xdr:nvSpPr>
        <xdr:spPr>
          <a:xfrm>
            <a:off x="10488101" y="3528580"/>
            <a:ext cx="3841911" cy="3877490"/>
          </a:xfrm>
          <a:prstGeom prst="ellipse">
            <a:avLst/>
          </a:prstGeom>
          <a:noFill/>
          <a:ln w="63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</xdr:grpSp>
    <xdr:clientData/>
  </xdr:twoCellAnchor>
  <xdr:twoCellAnchor>
    <xdr:from>
      <xdr:col>14</xdr:col>
      <xdr:colOff>466725</xdr:colOff>
      <xdr:row>11</xdr:row>
      <xdr:rowOff>95250</xdr:rowOff>
    </xdr:from>
    <xdr:to>
      <xdr:col>14</xdr:col>
      <xdr:colOff>466726</xdr:colOff>
      <xdr:row>42</xdr:row>
      <xdr:rowOff>28575</xdr:rowOff>
    </xdr:to>
    <xdr:cxnSp macro="">
      <xdr:nvCxnSpPr>
        <xdr:cNvPr id="18" name="Gerade Verbindung 17"/>
        <xdr:cNvCxnSpPr/>
      </xdr:nvCxnSpPr>
      <xdr:spPr>
        <a:xfrm flipH="1">
          <a:off x="12553950" y="1524000"/>
          <a:ext cx="1" cy="6115050"/>
        </a:xfrm>
        <a:prstGeom prst="line">
          <a:avLst/>
        </a:prstGeom>
        <a:ln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419100</xdr:colOff>
      <xdr:row>26</xdr:row>
      <xdr:rowOff>76200</xdr:rowOff>
    </xdr:from>
    <xdr:to>
      <xdr:col>18</xdr:col>
      <xdr:colOff>295275</xdr:colOff>
      <xdr:row>26</xdr:row>
      <xdr:rowOff>95251</xdr:rowOff>
    </xdr:to>
    <xdr:cxnSp macro="">
      <xdr:nvCxnSpPr>
        <xdr:cNvPr id="45" name="Gerade Verbindung 44"/>
        <xdr:cNvCxnSpPr/>
      </xdr:nvCxnSpPr>
      <xdr:spPr>
        <a:xfrm flipV="1">
          <a:off x="9458325" y="4552950"/>
          <a:ext cx="6219825" cy="19051"/>
        </a:xfrm>
        <a:prstGeom prst="line">
          <a:avLst/>
        </a:prstGeom>
        <a:ln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20</xdr:col>
      <xdr:colOff>787400</xdr:colOff>
      <xdr:row>0</xdr:row>
      <xdr:rowOff>76200</xdr:rowOff>
    </xdr:from>
    <xdr:ext cx="1604648" cy="682756"/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110200" y="76200"/>
          <a:ext cx="1604648" cy="682756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749675</xdr:colOff>
      <xdr:row>19</xdr:row>
      <xdr:rowOff>25776</xdr:rowOff>
    </xdr:from>
    <xdr:to>
      <xdr:col>16</xdr:col>
      <xdr:colOff>101975</xdr:colOff>
      <xdr:row>44</xdr:row>
      <xdr:rowOff>91330</xdr:rowOff>
    </xdr:to>
    <xdr:graphicFrame macro="">
      <xdr:nvGraphicFramePr>
        <xdr:cNvPr id="10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190501</xdr:colOff>
      <xdr:row>21</xdr:row>
      <xdr:rowOff>119063</xdr:rowOff>
    </xdr:from>
    <xdr:to>
      <xdr:col>15</xdr:col>
      <xdr:colOff>690563</xdr:colOff>
      <xdr:row>43</xdr:row>
      <xdr:rowOff>119063</xdr:rowOff>
    </xdr:to>
    <xdr:sp macro="" textlink="">
      <xdr:nvSpPr>
        <xdr:cNvPr id="11" name="Ellipse 10"/>
        <xdr:cNvSpPr/>
      </xdr:nvSpPr>
      <xdr:spPr>
        <a:xfrm>
          <a:off x="7696201" y="4319588"/>
          <a:ext cx="4367212" cy="4191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116</xdr:col>
      <xdr:colOff>447675</xdr:colOff>
      <xdr:row>10</xdr:row>
      <xdr:rowOff>2286000</xdr:rowOff>
    </xdr:from>
    <xdr:to>
      <xdr:col>119</xdr:col>
      <xdr:colOff>552450</xdr:colOff>
      <xdr:row>10</xdr:row>
      <xdr:rowOff>2676525</xdr:rowOff>
    </xdr:to>
    <xdr:pic>
      <xdr:nvPicPr>
        <xdr:cNvPr id="2" name="Grafik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06825" y="10953750"/>
          <a:ext cx="23907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120</xdr:col>
      <xdr:colOff>133350</xdr:colOff>
      <xdr:row>10</xdr:row>
      <xdr:rowOff>2266950</xdr:rowOff>
    </xdr:from>
    <xdr:to>
      <xdr:col>123</xdr:col>
      <xdr:colOff>76200</xdr:colOff>
      <xdr:row>10</xdr:row>
      <xdr:rowOff>2667000</xdr:rowOff>
    </xdr:to>
    <xdr:pic>
      <xdr:nvPicPr>
        <xdr:cNvPr id="3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440500" y="10934700"/>
          <a:ext cx="222885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66674</xdr:colOff>
      <xdr:row>6</xdr:row>
      <xdr:rowOff>161927</xdr:rowOff>
    </xdr:from>
    <xdr:to>
      <xdr:col>5</xdr:col>
      <xdr:colOff>219075</xdr:colOff>
      <xdr:row>7</xdr:row>
      <xdr:rowOff>133351</xdr:rowOff>
    </xdr:to>
    <xdr:pic>
      <xdr:nvPicPr>
        <xdr:cNvPr id="2" name="Grafik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4" y="1381127"/>
          <a:ext cx="4181476" cy="161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11</xdr:row>
      <xdr:rowOff>38101</xdr:rowOff>
    </xdr:from>
    <xdr:to>
      <xdr:col>2</xdr:col>
      <xdr:colOff>447675</xdr:colOff>
      <xdr:row>12</xdr:row>
      <xdr:rowOff>161925</xdr:rowOff>
    </xdr:to>
    <xdr:pic>
      <xdr:nvPicPr>
        <xdr:cNvPr id="3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209801"/>
          <a:ext cx="11620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91</xdr:row>
      <xdr:rowOff>9525</xdr:rowOff>
    </xdr:from>
    <xdr:to>
      <xdr:col>2</xdr:col>
      <xdr:colOff>190500</xdr:colOff>
      <xdr:row>92</xdr:row>
      <xdr:rowOff>28575</xdr:rowOff>
    </xdr:to>
    <xdr:pic>
      <xdr:nvPicPr>
        <xdr:cNvPr id="4" name="Grafik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621250"/>
          <a:ext cx="9048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19049</xdr:colOff>
      <xdr:row>95</xdr:row>
      <xdr:rowOff>19050</xdr:rowOff>
    </xdr:from>
    <xdr:to>
      <xdr:col>2</xdr:col>
      <xdr:colOff>504825</xdr:colOff>
      <xdr:row>96</xdr:row>
      <xdr:rowOff>47625</xdr:rowOff>
    </xdr:to>
    <xdr:pic>
      <xdr:nvPicPr>
        <xdr:cNvPr id="5" name="Grafik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49" y="18392775"/>
          <a:ext cx="1247776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419100</xdr:colOff>
      <xdr:row>82</xdr:row>
      <xdr:rowOff>8695</xdr:rowOff>
    </xdr:from>
    <xdr:to>
      <xdr:col>7</xdr:col>
      <xdr:colOff>457200</xdr:colOff>
      <xdr:row>97</xdr:row>
      <xdr:rowOff>23791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15905920"/>
          <a:ext cx="3181350" cy="2872596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86</xdr:row>
      <xdr:rowOff>0</xdr:rowOff>
    </xdr:from>
    <xdr:to>
      <xdr:col>3</xdr:col>
      <xdr:colOff>533400</xdr:colOff>
      <xdr:row>88</xdr:row>
      <xdr:rowOff>17091</xdr:rowOff>
    </xdr:to>
    <xdr:pic>
      <xdr:nvPicPr>
        <xdr:cNvPr id="7" name="Grafik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659225"/>
          <a:ext cx="2371725" cy="398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88</xdr:row>
      <xdr:rowOff>114300</xdr:rowOff>
    </xdr:from>
    <xdr:to>
      <xdr:col>2</xdr:col>
      <xdr:colOff>102870</xdr:colOff>
      <xdr:row>90</xdr:row>
      <xdr:rowOff>104775</xdr:rowOff>
    </xdr:to>
    <xdr:pic>
      <xdr:nvPicPr>
        <xdr:cNvPr id="8" name="Grafik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154525"/>
          <a:ext cx="817245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</xdr:colOff>
      <xdr:row>92</xdr:row>
      <xdr:rowOff>104775</xdr:rowOff>
    </xdr:from>
    <xdr:to>
      <xdr:col>2</xdr:col>
      <xdr:colOff>990600</xdr:colOff>
      <xdr:row>94</xdr:row>
      <xdr:rowOff>101800</xdr:rowOff>
    </xdr:to>
    <xdr:pic>
      <xdr:nvPicPr>
        <xdr:cNvPr id="9" name="Grafik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7907000"/>
          <a:ext cx="1724025" cy="37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0</xdr:colOff>
      <xdr:row>132</xdr:row>
      <xdr:rowOff>0</xdr:rowOff>
    </xdr:from>
    <xdr:to>
      <xdr:col>18</xdr:col>
      <xdr:colOff>628650</xdr:colOff>
      <xdr:row>133</xdr:row>
      <xdr:rowOff>171450</xdr:rowOff>
    </xdr:to>
    <xdr:pic>
      <xdr:nvPicPr>
        <xdr:cNvPr id="13" name="Grafik 1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20775" y="6505575"/>
          <a:ext cx="139065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5</xdr:row>
      <xdr:rowOff>161927</xdr:rowOff>
    </xdr:from>
    <xdr:to>
      <xdr:col>3</xdr:col>
      <xdr:colOff>332228</xdr:colOff>
      <xdr:row>6</xdr:row>
      <xdr:rowOff>123824</xdr:rowOff>
    </xdr:to>
    <xdr:pic>
      <xdr:nvPicPr>
        <xdr:cNvPr id="2" name="Grafik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266827"/>
          <a:ext cx="3027803" cy="152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47625</xdr:colOff>
      <xdr:row>10</xdr:row>
      <xdr:rowOff>38101</xdr:rowOff>
    </xdr:from>
    <xdr:to>
      <xdr:col>1</xdr:col>
      <xdr:colOff>447675</xdr:colOff>
      <xdr:row>11</xdr:row>
      <xdr:rowOff>161925</xdr:rowOff>
    </xdr:to>
    <xdr:pic>
      <xdr:nvPicPr>
        <xdr:cNvPr id="3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095501"/>
          <a:ext cx="11620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omniweb.gsfc.nasa.gov/coho/helios/planet.html" TargetMode="External"/><Relationship Id="rId1" Type="http://schemas.openxmlformats.org/officeDocument/2006/relationships/hyperlink" Target="http://www.met.rdg.ac.uk/~ross/Astronomy/Planets.html" TargetMode="External"/><Relationship Id="rId4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AP153"/>
  <sheetViews>
    <sheetView showGridLines="0" showRowColHeaders="0" tabSelected="1" zoomScale="75" zoomScaleNormal="75" workbookViewId="0">
      <selection activeCell="H8" sqref="H8"/>
    </sheetView>
  </sheetViews>
  <sheetFormatPr baseColWidth="10" defaultRowHeight="15" x14ac:dyDescent="0.25"/>
  <cols>
    <col min="1" max="1" width="22.85546875" customWidth="1"/>
    <col min="2" max="2" width="25.140625" bestFit="1" customWidth="1"/>
    <col min="3" max="3" width="10.28515625" customWidth="1"/>
    <col min="10" max="10" width="13.7109375" customWidth="1"/>
    <col min="18" max="18" width="15.140625" bestFit="1" customWidth="1"/>
    <col min="19" max="19" width="12.5703125" bestFit="1" customWidth="1"/>
    <col min="21" max="21" width="15.140625" bestFit="1" customWidth="1"/>
    <col min="23" max="23" width="12.7109375" bestFit="1" customWidth="1"/>
    <col min="24" max="24" width="14.5703125" customWidth="1"/>
    <col min="26" max="26" width="21" customWidth="1"/>
    <col min="27" max="27" width="3.5703125" customWidth="1"/>
    <col min="30" max="30" width="18" bestFit="1" customWidth="1"/>
    <col min="36" max="36" width="11.42578125" customWidth="1"/>
    <col min="37" max="37" width="13.28515625" bestFit="1" customWidth="1"/>
    <col min="46" max="46" width="13.140625" customWidth="1"/>
    <col min="56" max="56" width="12.5703125" bestFit="1" customWidth="1"/>
  </cols>
  <sheetData>
    <row r="1" spans="1:42" x14ac:dyDescent="0.25">
      <c r="A1" s="266">
        <f>K8</f>
        <v>43497.775694444441</v>
      </c>
      <c r="AA1" s="262"/>
    </row>
    <row r="2" spans="1:42" ht="26.25" x14ac:dyDescent="0.4">
      <c r="A2" s="256"/>
      <c r="B2" s="43" t="s">
        <v>423</v>
      </c>
      <c r="AA2" s="262"/>
    </row>
    <row r="3" spans="1:42" x14ac:dyDescent="0.25">
      <c r="A3" s="256"/>
      <c r="X3" t="s">
        <v>424</v>
      </c>
      <c r="AA3" s="262"/>
    </row>
    <row r="4" spans="1:42" x14ac:dyDescent="0.25">
      <c r="A4" s="256"/>
      <c r="AA4" s="262"/>
    </row>
    <row r="5" spans="1:42" x14ac:dyDescent="0.25">
      <c r="A5" s="256"/>
      <c r="AA5" s="262"/>
    </row>
    <row r="6" spans="1:42" x14ac:dyDescent="0.25">
      <c r="A6" s="260"/>
      <c r="B6" s="260"/>
      <c r="C6" s="260"/>
      <c r="D6" s="260"/>
      <c r="E6" s="260"/>
      <c r="F6" s="260"/>
      <c r="G6" s="260"/>
      <c r="H6" s="260"/>
      <c r="I6" s="260"/>
      <c r="J6" s="260"/>
      <c r="K6" s="260"/>
      <c r="L6" s="260"/>
      <c r="M6" s="260"/>
      <c r="N6" s="260"/>
      <c r="O6" s="260"/>
      <c r="P6" s="260"/>
      <c r="Q6" s="260"/>
      <c r="R6" s="260"/>
      <c r="S6" s="260"/>
      <c r="T6" s="260"/>
      <c r="U6" s="261"/>
      <c r="V6" s="261"/>
      <c r="W6" s="261"/>
      <c r="X6" s="261"/>
      <c r="Y6" s="261"/>
      <c r="Z6" s="261"/>
      <c r="AA6" s="262"/>
    </row>
    <row r="7" spans="1:42" x14ac:dyDescent="0.25">
      <c r="E7" s="265"/>
      <c r="R7" s="36"/>
      <c r="AA7" s="262"/>
    </row>
    <row r="8" spans="1:42" ht="18.75" x14ac:dyDescent="0.3">
      <c r="A8" s="19"/>
      <c r="E8" s="271">
        <v>43497</v>
      </c>
      <c r="F8" s="272"/>
      <c r="H8" s="267">
        <v>0.77569444444444446</v>
      </c>
      <c r="I8" t="s">
        <v>363</v>
      </c>
      <c r="K8" s="269">
        <f>E8+H8</f>
        <v>43497.775694444441</v>
      </c>
      <c r="L8" s="270"/>
      <c r="N8" t="s">
        <v>36</v>
      </c>
      <c r="O8" s="241">
        <f>J68</f>
        <v>0.12671981125542492</v>
      </c>
      <c r="U8" s="3" t="s">
        <v>425</v>
      </c>
      <c r="W8" s="19"/>
      <c r="X8" s="19"/>
      <c r="AA8" s="262"/>
    </row>
    <row r="9" spans="1:42" x14ac:dyDescent="0.25">
      <c r="R9" s="36"/>
      <c r="W9" s="19"/>
      <c r="X9" s="77"/>
      <c r="AA9" s="262"/>
    </row>
    <row r="10" spans="1:42" ht="18.75" x14ac:dyDescent="0.3">
      <c r="B10" s="265"/>
      <c r="C10" s="235"/>
      <c r="R10" s="36"/>
      <c r="U10" t="s">
        <v>447</v>
      </c>
      <c r="W10" s="19"/>
      <c r="X10" s="19"/>
      <c r="Y10" s="19"/>
      <c r="Z10" s="76"/>
      <c r="AA10" s="262"/>
      <c r="AB10" s="19"/>
      <c r="AC10" s="19"/>
      <c r="AL10" s="250"/>
      <c r="AM10" s="251"/>
      <c r="AN10" s="252"/>
      <c r="AO10" s="253"/>
      <c r="AP10" s="254"/>
    </row>
    <row r="11" spans="1:42" x14ac:dyDescent="0.25">
      <c r="R11" s="35"/>
      <c r="Y11" s="19"/>
      <c r="Z11" s="78"/>
      <c r="AA11" s="262"/>
      <c r="AB11" s="19"/>
      <c r="AC11" s="19"/>
      <c r="AD11" s="3"/>
      <c r="AL11" s="250"/>
      <c r="AM11" s="251"/>
      <c r="AN11" s="252"/>
      <c r="AO11" s="253"/>
      <c r="AP11" s="254"/>
    </row>
    <row r="12" spans="1:42" ht="18.75" x14ac:dyDescent="0.3">
      <c r="B12" s="235" t="s">
        <v>190</v>
      </c>
      <c r="C12" s="268">
        <v>9.73</v>
      </c>
      <c r="R12" s="35"/>
      <c r="V12" t="s">
        <v>444</v>
      </c>
      <c r="Y12" s="19"/>
      <c r="Z12" s="79"/>
      <c r="AA12" s="262"/>
      <c r="AB12" s="19"/>
      <c r="AC12" s="19"/>
      <c r="AD12" s="13"/>
      <c r="AG12" s="19"/>
      <c r="AH12" s="19"/>
      <c r="AL12" s="250"/>
      <c r="AM12" s="251"/>
      <c r="AN12" s="252"/>
      <c r="AO12" s="253"/>
      <c r="AP12" s="254"/>
    </row>
    <row r="13" spans="1:42" ht="18.75" x14ac:dyDescent="0.3">
      <c r="B13" s="235"/>
      <c r="C13" s="258"/>
      <c r="R13" s="39"/>
      <c r="V13" t="s">
        <v>443</v>
      </c>
      <c r="AA13" s="262"/>
      <c r="AB13" s="19"/>
      <c r="AC13" s="19"/>
      <c r="AG13" s="19"/>
      <c r="AH13" s="19"/>
      <c r="AL13" s="273"/>
      <c r="AM13" s="273"/>
      <c r="AN13" s="273"/>
      <c r="AO13" s="273"/>
      <c r="AP13" s="273"/>
    </row>
    <row r="14" spans="1:42" ht="18.75" x14ac:dyDescent="0.3">
      <c r="B14" s="259" t="s">
        <v>191</v>
      </c>
      <c r="C14" s="268">
        <v>52.4</v>
      </c>
      <c r="Q14" s="86"/>
      <c r="R14" s="38"/>
      <c r="V14" t="s">
        <v>445</v>
      </c>
      <c r="AA14" s="262"/>
      <c r="AB14" s="19"/>
      <c r="AC14" s="19"/>
      <c r="AG14" s="19"/>
      <c r="AH14" s="19"/>
      <c r="AL14" s="250"/>
      <c r="AM14" s="251"/>
      <c r="AN14" s="252"/>
      <c r="AO14" s="253"/>
      <c r="AP14" s="254"/>
    </row>
    <row r="15" spans="1:42" x14ac:dyDescent="0.25">
      <c r="R15" s="9"/>
      <c r="V15" t="s">
        <v>446</v>
      </c>
      <c r="AA15" s="262"/>
      <c r="AB15" s="19"/>
      <c r="AC15" s="19"/>
      <c r="AG15" s="19"/>
      <c r="AH15" s="237"/>
      <c r="AL15" s="250"/>
      <c r="AM15" s="251"/>
      <c r="AN15" s="252"/>
      <c r="AO15" s="253"/>
      <c r="AP15" s="254"/>
    </row>
    <row r="16" spans="1:42" x14ac:dyDescent="0.25">
      <c r="B16" s="3" t="s">
        <v>101</v>
      </c>
      <c r="Q16" s="38"/>
      <c r="AA16" s="262"/>
      <c r="AB16" s="19"/>
      <c r="AC16" s="19"/>
      <c r="AG16" s="19"/>
      <c r="AH16" s="19"/>
      <c r="AL16" s="250"/>
      <c r="AM16" s="251"/>
      <c r="AN16" s="252"/>
      <c r="AO16" s="253"/>
      <c r="AP16" s="254"/>
    </row>
    <row r="17" spans="2:42" x14ac:dyDescent="0.25">
      <c r="Q17" s="38"/>
      <c r="U17" t="s">
        <v>448</v>
      </c>
      <c r="AA17" s="262"/>
      <c r="AB17" s="19"/>
      <c r="AC17" s="19"/>
      <c r="AG17" s="19"/>
      <c r="AH17" s="19"/>
      <c r="AL17" s="250"/>
      <c r="AM17" s="251"/>
      <c r="AN17" s="252"/>
      <c r="AO17" s="253"/>
      <c r="AP17" s="254"/>
    </row>
    <row r="18" spans="2:42" x14ac:dyDescent="0.25">
      <c r="B18" t="s">
        <v>416</v>
      </c>
      <c r="C18" s="13">
        <f>'Sonne Mond'!H80</f>
        <v>259.86137223207174</v>
      </c>
      <c r="Q18" s="38"/>
      <c r="R18" s="38"/>
      <c r="AA18" s="262"/>
      <c r="AB18" s="19"/>
      <c r="AC18" s="19"/>
      <c r="AG18" s="19"/>
      <c r="AH18" s="19"/>
      <c r="AL18" s="273"/>
      <c r="AM18" s="273"/>
      <c r="AN18" s="273"/>
      <c r="AO18" s="273"/>
      <c r="AP18" s="273"/>
    </row>
    <row r="19" spans="2:42" x14ac:dyDescent="0.25">
      <c r="B19" t="s">
        <v>417</v>
      </c>
      <c r="C19" s="13">
        <f>'Sonne Mond'!H87</f>
        <v>-13.775449190988692</v>
      </c>
      <c r="Q19" s="3"/>
      <c r="R19" s="38"/>
      <c r="U19" t="s">
        <v>449</v>
      </c>
      <c r="W19" s="19"/>
      <c r="X19" s="77"/>
      <c r="Y19" s="19"/>
      <c r="Z19" s="19"/>
      <c r="AA19" s="262"/>
      <c r="AB19" s="19"/>
      <c r="AC19" s="19"/>
      <c r="AG19" s="19"/>
      <c r="AH19" s="19"/>
      <c r="AL19" s="250"/>
      <c r="AM19" s="251"/>
      <c r="AN19" s="252"/>
      <c r="AO19" s="253"/>
      <c r="AP19" s="254"/>
    </row>
    <row r="20" spans="2:42" x14ac:dyDescent="0.25">
      <c r="Q20" s="39"/>
      <c r="R20" s="38"/>
      <c r="U20" t="s">
        <v>426</v>
      </c>
      <c r="X20" s="19"/>
      <c r="Y20" s="19"/>
      <c r="Z20" s="19"/>
      <c r="AA20" s="263"/>
      <c r="AB20" s="19"/>
      <c r="AC20" s="19"/>
      <c r="AG20" s="19"/>
      <c r="AH20" s="19"/>
      <c r="AL20" s="250"/>
      <c r="AM20" s="251"/>
      <c r="AN20" s="252"/>
      <c r="AO20" s="253"/>
      <c r="AP20" s="254"/>
    </row>
    <row r="21" spans="2:42" ht="18.75" x14ac:dyDescent="0.25">
      <c r="B21" t="s">
        <v>409</v>
      </c>
      <c r="C21" s="219">
        <f>Tabelle5!E121</f>
        <v>0.33662250034748453</v>
      </c>
      <c r="D21" s="243">
        <f>Tabelle5!E123</f>
        <v>118.67337181851028</v>
      </c>
      <c r="E21" t="s">
        <v>25</v>
      </c>
      <c r="F21" s="218">
        <f>B69</f>
        <v>0.77569444444088731</v>
      </c>
      <c r="H21" t="s">
        <v>36</v>
      </c>
      <c r="I21" s="218">
        <f>J68</f>
        <v>0.12671981125542492</v>
      </c>
      <c r="Q21" s="74"/>
      <c r="R21" s="38"/>
      <c r="V21" t="s">
        <v>431</v>
      </c>
      <c r="Y21" s="19"/>
      <c r="Z21" s="19"/>
      <c r="AA21" s="263"/>
      <c r="AB21" s="19"/>
      <c r="AC21" s="19"/>
      <c r="AG21" s="19"/>
      <c r="AH21" s="19"/>
      <c r="AL21" s="250"/>
      <c r="AM21" s="251"/>
      <c r="AN21" s="252"/>
      <c r="AO21" s="253"/>
      <c r="AP21" s="254"/>
    </row>
    <row r="22" spans="2:42" x14ac:dyDescent="0.25">
      <c r="B22" t="s">
        <v>410</v>
      </c>
      <c r="C22" s="219">
        <f>Tabelle5!E126</f>
        <v>0.71150173908265613</v>
      </c>
      <c r="D22" s="243">
        <f>Tabelle5!E128</f>
        <v>241.32662818148972</v>
      </c>
      <c r="R22" s="38"/>
      <c r="U22" s="28"/>
      <c r="V22" s="134" t="s">
        <v>427</v>
      </c>
      <c r="X22" s="19"/>
      <c r="Y22" s="19"/>
      <c r="Z22" s="19"/>
      <c r="AA22" s="262"/>
      <c r="AG22" s="19"/>
      <c r="AH22" s="19"/>
      <c r="AL22" s="250"/>
      <c r="AM22" s="251"/>
      <c r="AN22" s="252"/>
      <c r="AO22" s="253"/>
      <c r="AP22" s="254"/>
    </row>
    <row r="23" spans="2:42" x14ac:dyDescent="0.25">
      <c r="V23" t="s">
        <v>428</v>
      </c>
      <c r="W23" s="19"/>
      <c r="X23" s="19"/>
      <c r="Z23" s="80"/>
      <c r="AA23" s="262"/>
      <c r="AG23" s="19"/>
      <c r="AH23" s="19"/>
      <c r="AL23" s="273"/>
      <c r="AM23" s="273"/>
      <c r="AN23" s="273"/>
      <c r="AO23" s="273"/>
      <c r="AP23" s="273"/>
    </row>
    <row r="24" spans="2:42" x14ac:dyDescent="0.25">
      <c r="B24" t="s">
        <v>415</v>
      </c>
      <c r="C24" s="219">
        <f>Tabelle5!E117</f>
        <v>0.52406211971507033</v>
      </c>
      <c r="V24" t="s">
        <v>429</v>
      </c>
      <c r="Z24" s="19"/>
      <c r="AA24" s="262"/>
      <c r="AG24" s="19"/>
      <c r="AH24" s="19"/>
      <c r="AL24" s="250"/>
      <c r="AM24" s="251"/>
      <c r="AN24" s="252"/>
      <c r="AO24" s="253"/>
      <c r="AP24" s="254"/>
    </row>
    <row r="25" spans="2:42" x14ac:dyDescent="0.25">
      <c r="B25" t="s">
        <v>90</v>
      </c>
      <c r="C25" s="220">
        <f>Tabelle5!D112</f>
        <v>-13.569452389701253</v>
      </c>
      <c r="V25" t="s">
        <v>430</v>
      </c>
      <c r="Z25" s="85"/>
      <c r="AA25" s="262"/>
      <c r="AG25" s="19"/>
      <c r="AH25" s="19"/>
      <c r="AL25" s="250"/>
      <c r="AM25" s="251"/>
      <c r="AN25" s="252"/>
      <c r="AO25" s="253"/>
      <c r="AP25" s="254"/>
    </row>
    <row r="26" spans="2:42" x14ac:dyDescent="0.25">
      <c r="B26" t="s">
        <v>350</v>
      </c>
      <c r="C26" s="219">
        <f>Tabelle5!E108</f>
        <v>0.37487923873517159</v>
      </c>
      <c r="Q26" s="19"/>
      <c r="R26" s="19"/>
      <c r="S26" s="19"/>
      <c r="V26" t="s">
        <v>432</v>
      </c>
      <c r="AA26" s="262"/>
      <c r="AG26" s="19"/>
      <c r="AH26" s="19"/>
      <c r="AL26" s="250"/>
      <c r="AM26" s="251"/>
      <c r="AN26" s="252"/>
      <c r="AO26" s="253"/>
      <c r="AP26" s="254"/>
    </row>
    <row r="27" spans="2:42" x14ac:dyDescent="0.25">
      <c r="Q27" s="19"/>
      <c r="R27" s="19"/>
      <c r="S27" s="19"/>
      <c r="Z27" s="19"/>
      <c r="AA27" s="262"/>
      <c r="AG27" s="19"/>
      <c r="AH27" s="19"/>
      <c r="AL27" s="250"/>
      <c r="AM27" s="251"/>
      <c r="AN27" s="252"/>
      <c r="AO27" s="253"/>
      <c r="AP27" s="254"/>
    </row>
    <row r="28" spans="2:42" x14ac:dyDescent="0.25">
      <c r="B28" t="s">
        <v>414</v>
      </c>
      <c r="C28" s="13">
        <f>'Sonne Mond'!C108</f>
        <v>312.5655799337552</v>
      </c>
      <c r="D28">
        <v>0</v>
      </c>
      <c r="Q28" s="214"/>
      <c r="R28" s="19"/>
      <c r="S28" s="19"/>
      <c r="U28" t="s">
        <v>450</v>
      </c>
      <c r="W28" s="19"/>
      <c r="X28" s="19"/>
      <c r="Y28" s="19"/>
      <c r="AA28" s="262"/>
      <c r="AD28" s="3"/>
      <c r="AG28" s="19"/>
      <c r="AH28" s="19"/>
      <c r="AL28" s="273"/>
      <c r="AM28" s="273"/>
      <c r="AN28" s="273"/>
      <c r="AO28" s="273"/>
      <c r="AP28" s="273"/>
    </row>
    <row r="29" spans="2:42" ht="18" customHeight="1" x14ac:dyDescent="0.35">
      <c r="B29" t="s">
        <v>411</v>
      </c>
      <c r="C29" s="224">
        <f>'Sonne Mond'!C114</f>
        <v>0.87508338651861461</v>
      </c>
      <c r="D29" s="13">
        <f>'Sonne Mond'!C116</f>
        <v>-17.036008991379937</v>
      </c>
      <c r="M29" s="4"/>
      <c r="N29" s="265"/>
      <c r="Q29" s="215"/>
      <c r="R29" s="87"/>
      <c r="S29" s="19"/>
      <c r="V29" t="s">
        <v>452</v>
      </c>
      <c r="AA29" s="262"/>
      <c r="AD29" s="13"/>
      <c r="AG29" s="19"/>
      <c r="AH29" s="19"/>
      <c r="AL29" s="250"/>
      <c r="AM29" s="251"/>
      <c r="AN29" s="252"/>
      <c r="AO29" s="253"/>
      <c r="AP29" s="254"/>
    </row>
    <row r="30" spans="2:42" x14ac:dyDescent="0.25">
      <c r="M30" s="265"/>
      <c r="N30" s="265"/>
      <c r="Q30" s="19"/>
      <c r="R30" s="19"/>
      <c r="S30" s="19"/>
      <c r="AA30" s="262"/>
      <c r="AG30" s="19"/>
      <c r="AH30" s="19"/>
      <c r="AL30" s="250"/>
      <c r="AM30" s="251"/>
      <c r="AN30" s="252"/>
      <c r="AO30" s="253"/>
      <c r="AP30" s="254"/>
    </row>
    <row r="31" spans="2:42" x14ac:dyDescent="0.25">
      <c r="Q31" s="19"/>
      <c r="R31" s="19"/>
      <c r="S31" s="19"/>
      <c r="U31" s="3" t="s">
        <v>433</v>
      </c>
      <c r="AA31" s="262"/>
      <c r="AL31" s="250"/>
      <c r="AM31" s="251"/>
      <c r="AN31" s="252"/>
      <c r="AO31" s="253"/>
      <c r="AP31" s="254"/>
    </row>
    <row r="32" spans="2:42" x14ac:dyDescent="0.25">
      <c r="Q32" s="19"/>
      <c r="R32" s="19"/>
      <c r="S32" s="19"/>
      <c r="AA32" s="262"/>
      <c r="AH32" s="13"/>
      <c r="AL32" s="250"/>
      <c r="AM32" s="251"/>
      <c r="AN32" s="252"/>
      <c r="AO32" s="253"/>
      <c r="AP32" s="254"/>
    </row>
    <row r="33" spans="2:42" x14ac:dyDescent="0.25">
      <c r="Q33" s="19"/>
      <c r="R33" s="19"/>
      <c r="S33" s="19"/>
      <c r="U33" s="3" t="s">
        <v>423</v>
      </c>
      <c r="AA33" s="262"/>
      <c r="AL33" s="273"/>
      <c r="AM33" s="273"/>
      <c r="AN33" s="273"/>
      <c r="AO33" s="273"/>
      <c r="AP33" s="273"/>
    </row>
    <row r="34" spans="2:42" x14ac:dyDescent="0.25">
      <c r="B34" s="3" t="s">
        <v>100</v>
      </c>
      <c r="Q34" s="19"/>
      <c r="R34" s="19"/>
      <c r="S34" s="19"/>
      <c r="AA34" s="262"/>
      <c r="AL34" s="250"/>
      <c r="AM34" s="251"/>
      <c r="AN34" s="252"/>
      <c r="AO34" s="253"/>
      <c r="AP34" s="254"/>
    </row>
    <row r="35" spans="2:42" x14ac:dyDescent="0.25">
      <c r="Q35" s="19"/>
      <c r="R35" s="19"/>
      <c r="S35" s="19"/>
      <c r="V35" t="s">
        <v>435</v>
      </c>
      <c r="AA35" s="262"/>
      <c r="AL35" s="250"/>
      <c r="AM35" s="251"/>
      <c r="AN35" s="252"/>
      <c r="AO35" s="253"/>
      <c r="AP35" s="254"/>
    </row>
    <row r="36" spans="2:42" x14ac:dyDescent="0.25">
      <c r="B36" t="s">
        <v>416</v>
      </c>
      <c r="C36" s="13">
        <f>'Sonne Mond'!H71</f>
        <v>286.04703704912833</v>
      </c>
      <c r="Q36" s="19"/>
      <c r="R36" s="19"/>
      <c r="S36" s="19"/>
      <c r="V36" t="s">
        <v>436</v>
      </c>
      <c r="AA36" s="262"/>
      <c r="AL36" s="250"/>
      <c r="AM36" s="251"/>
      <c r="AN36" s="252"/>
      <c r="AO36" s="253"/>
      <c r="AP36" s="254"/>
    </row>
    <row r="37" spans="2:42" x14ac:dyDescent="0.25">
      <c r="B37" t="s">
        <v>417</v>
      </c>
      <c r="C37" s="13">
        <f>'Sonne Mond'!H85</f>
        <v>-38.928747425154839</v>
      </c>
      <c r="Q37" s="19"/>
      <c r="R37" s="19"/>
      <c r="S37" s="19"/>
      <c r="V37" t="s">
        <v>437</v>
      </c>
      <c r="AA37" s="262"/>
      <c r="AL37" s="250"/>
      <c r="AM37" s="251"/>
      <c r="AN37" s="252"/>
      <c r="AO37" s="253"/>
      <c r="AP37" s="254"/>
    </row>
    <row r="38" spans="2:42" x14ac:dyDescent="0.25">
      <c r="Q38" s="19"/>
      <c r="R38" s="19"/>
      <c r="S38" s="19"/>
      <c r="AA38" s="262"/>
      <c r="AL38" s="273"/>
      <c r="AM38" s="273"/>
      <c r="AN38" s="273"/>
      <c r="AO38" s="273"/>
      <c r="AP38" s="273"/>
    </row>
    <row r="39" spans="2:42" x14ac:dyDescent="0.25">
      <c r="B39" t="s">
        <v>418</v>
      </c>
      <c r="C39" s="240">
        <f>'Sonne Mond'!C86</f>
        <v>8.600982835697458</v>
      </c>
      <c r="Q39" s="215"/>
      <c r="R39" s="87"/>
      <c r="S39" s="19"/>
      <c r="V39" t="s">
        <v>439</v>
      </c>
      <c r="AA39" s="262"/>
      <c r="AL39" s="250"/>
      <c r="AM39" s="251"/>
      <c r="AN39" s="252"/>
      <c r="AO39" s="253"/>
      <c r="AP39" s="254"/>
    </row>
    <row r="40" spans="2:42" x14ac:dyDescent="0.25">
      <c r="Q40" s="19"/>
      <c r="R40" s="86"/>
      <c r="S40" s="19"/>
      <c r="V40" t="s">
        <v>442</v>
      </c>
      <c r="AA40" s="262"/>
      <c r="AL40" s="250"/>
      <c r="AM40" s="251"/>
      <c r="AN40" s="252"/>
      <c r="AO40" s="253"/>
      <c r="AP40" s="254"/>
    </row>
    <row r="41" spans="2:42" x14ac:dyDescent="0.25">
      <c r="B41" s="20"/>
      <c r="C41" s="255"/>
      <c r="D41" s="28"/>
      <c r="Q41" s="19"/>
      <c r="R41" s="86"/>
      <c r="S41" s="19"/>
      <c r="V41" t="s">
        <v>438</v>
      </c>
      <c r="AA41" s="262"/>
      <c r="AL41" s="250"/>
      <c r="AM41" s="251"/>
      <c r="AN41" s="252"/>
      <c r="AO41" s="253"/>
      <c r="AP41" s="254"/>
    </row>
    <row r="42" spans="2:42" x14ac:dyDescent="0.25">
      <c r="Q42" s="19"/>
      <c r="R42" s="19"/>
      <c r="S42" s="19"/>
      <c r="V42" t="s">
        <v>451</v>
      </c>
      <c r="AA42" s="262"/>
      <c r="AL42" s="250"/>
      <c r="AM42" s="251"/>
      <c r="AN42" s="252"/>
      <c r="AO42" s="253"/>
      <c r="AP42" s="254"/>
    </row>
    <row r="43" spans="2:42" ht="18.75" x14ac:dyDescent="0.3">
      <c r="B43" t="s">
        <v>414</v>
      </c>
      <c r="C43" s="13">
        <f>'Sonne Mond'!C49</f>
        <v>278.45740589802284</v>
      </c>
      <c r="D43" s="13">
        <f>'Sonne Mond'!C61</f>
        <v>1.6653901058017893</v>
      </c>
      <c r="Y43" s="249"/>
      <c r="AA43" s="262"/>
    </row>
    <row r="44" spans="2:42" x14ac:dyDescent="0.25">
      <c r="B44" t="s">
        <v>411</v>
      </c>
      <c r="C44" s="224">
        <f>'Sonne Mond'!C74</f>
        <v>0.77525475945111122</v>
      </c>
      <c r="D44" s="13">
        <f>'Sonne Mond'!C76</f>
        <v>-21.508078844597033</v>
      </c>
      <c r="V44" t="s">
        <v>440</v>
      </c>
      <c r="AA44" s="262"/>
    </row>
    <row r="45" spans="2:42" x14ac:dyDescent="0.25">
      <c r="V45" t="s">
        <v>441</v>
      </c>
      <c r="AA45" s="262"/>
    </row>
    <row r="46" spans="2:42" x14ac:dyDescent="0.25">
      <c r="U46" s="17"/>
      <c r="AA46" s="262"/>
    </row>
    <row r="47" spans="2:42" x14ac:dyDescent="0.25">
      <c r="AA47" s="262"/>
    </row>
    <row r="48" spans="2:42" x14ac:dyDescent="0.25">
      <c r="AA48" s="262"/>
    </row>
    <row r="49" spans="1:27" x14ac:dyDescent="0.25">
      <c r="AA49" s="262"/>
    </row>
    <row r="50" spans="1:27" x14ac:dyDescent="0.25">
      <c r="A50" s="260"/>
      <c r="B50" s="260"/>
      <c r="C50" s="260"/>
      <c r="D50" s="260"/>
      <c r="E50" s="260"/>
      <c r="F50" s="260"/>
      <c r="G50" s="260"/>
      <c r="H50" s="260"/>
      <c r="I50" s="260"/>
      <c r="J50" s="260"/>
      <c r="K50" s="260"/>
      <c r="L50" s="260"/>
      <c r="M50" s="260"/>
      <c r="N50" s="260"/>
      <c r="O50" s="260"/>
      <c r="P50" s="260"/>
      <c r="Q50" s="260"/>
      <c r="R50" s="260"/>
      <c r="S50" s="260"/>
      <c r="T50" s="260"/>
      <c r="U50" s="264"/>
      <c r="V50" s="260"/>
      <c r="W50" s="260"/>
      <c r="X50" s="260"/>
      <c r="Y50" s="260"/>
      <c r="Z50" s="260"/>
      <c r="AA50" s="262"/>
    </row>
    <row r="51" spans="1:27" x14ac:dyDescent="0.25">
      <c r="AA51" s="262"/>
    </row>
    <row r="52" spans="1:27" x14ac:dyDescent="0.25">
      <c r="AA52" s="262"/>
    </row>
    <row r="53" spans="1:27" x14ac:dyDescent="0.25">
      <c r="AA53" s="262"/>
    </row>
    <row r="54" spans="1:27" x14ac:dyDescent="0.25">
      <c r="AA54" s="262"/>
    </row>
    <row r="55" spans="1:27" x14ac:dyDescent="0.25">
      <c r="AA55" s="262"/>
    </row>
    <row r="56" spans="1:27" x14ac:dyDescent="0.25">
      <c r="AA56" s="262"/>
    </row>
    <row r="57" spans="1:27" x14ac:dyDescent="0.25">
      <c r="AA57" s="262"/>
    </row>
    <row r="58" spans="1:27" x14ac:dyDescent="0.25">
      <c r="AA58" s="262"/>
    </row>
    <row r="59" spans="1:27" x14ac:dyDescent="0.25">
      <c r="AA59" s="262"/>
    </row>
    <row r="60" spans="1:27" x14ac:dyDescent="0.25">
      <c r="AA60" s="262"/>
    </row>
    <row r="61" spans="1:27" x14ac:dyDescent="0.25">
      <c r="AA61" s="262"/>
    </row>
    <row r="62" spans="1:27" x14ac:dyDescent="0.25">
      <c r="A62" s="3" t="s">
        <v>434</v>
      </c>
      <c r="H62" s="3" t="s">
        <v>36</v>
      </c>
      <c r="AA62" s="262"/>
    </row>
    <row r="63" spans="1:27" x14ac:dyDescent="0.25">
      <c r="B63" s="2"/>
      <c r="J63" s="16"/>
      <c r="AA63" s="262"/>
    </row>
    <row r="64" spans="1:27" x14ac:dyDescent="0.25">
      <c r="A64" t="s">
        <v>422</v>
      </c>
      <c r="B64" s="257">
        <f>K8</f>
        <v>43497.775694444441</v>
      </c>
      <c r="H64" t="s">
        <v>32</v>
      </c>
      <c r="J64" s="16">
        <f>K8-1/24</f>
        <v>43497.734027777777</v>
      </c>
      <c r="AA64" s="262"/>
    </row>
    <row r="65" spans="1:27" x14ac:dyDescent="0.25">
      <c r="AA65" s="262"/>
    </row>
    <row r="66" spans="1:27" x14ac:dyDescent="0.25">
      <c r="A66" t="s">
        <v>1</v>
      </c>
      <c r="B66" s="1">
        <f>E8</f>
        <v>43497</v>
      </c>
      <c r="H66" t="s">
        <v>30</v>
      </c>
      <c r="J66" s="16">
        <f>Tabelle2!T6</f>
        <v>9.9692033477647143E-2</v>
      </c>
      <c r="AA66" s="262"/>
    </row>
    <row r="67" spans="1:27" x14ac:dyDescent="0.25">
      <c r="AA67" s="262"/>
    </row>
    <row r="68" spans="1:27" x14ac:dyDescent="0.25">
      <c r="H68" t="s">
        <v>31</v>
      </c>
      <c r="J68" s="16">
        <f>Tabelle2!Y6</f>
        <v>0.12671981125542492</v>
      </c>
      <c r="AA68" s="262"/>
    </row>
    <row r="69" spans="1:27" x14ac:dyDescent="0.25">
      <c r="B69" s="1">
        <f>K8-B66</f>
        <v>0.77569444444088731</v>
      </c>
      <c r="AA69" s="262"/>
    </row>
    <row r="70" spans="1:27" x14ac:dyDescent="0.25">
      <c r="J70" s="21">
        <f>J68*24</f>
        <v>3.0412754701301981</v>
      </c>
      <c r="AA70" s="262"/>
    </row>
    <row r="71" spans="1:27" x14ac:dyDescent="0.25">
      <c r="A71" t="s">
        <v>0</v>
      </c>
      <c r="B71" s="14">
        <f>B69</f>
        <v>0.77569444444088731</v>
      </c>
      <c r="J71" s="21"/>
      <c r="AA71" s="262"/>
    </row>
    <row r="72" spans="1:27" x14ac:dyDescent="0.25">
      <c r="B72" s="14"/>
      <c r="H72" t="s">
        <v>4</v>
      </c>
      <c r="J72" s="21">
        <f>J70-INT(J70)</f>
        <v>4.1275470130198055E-2</v>
      </c>
      <c r="AA72" s="262"/>
    </row>
    <row r="73" spans="1:27" x14ac:dyDescent="0.25">
      <c r="A73" t="s">
        <v>2</v>
      </c>
      <c r="B73" s="14">
        <f>B71*24</f>
        <v>18.616666666581295</v>
      </c>
      <c r="J73" s="21"/>
      <c r="AA73" s="262"/>
    </row>
    <row r="74" spans="1:27" x14ac:dyDescent="0.25">
      <c r="B74" s="14">
        <f>IF(B73&gt;12,B73-12,B73)</f>
        <v>6.6166666665812954</v>
      </c>
      <c r="H74" t="s">
        <v>3</v>
      </c>
      <c r="J74" s="21">
        <f>J72*60</f>
        <v>2.4765282078118833</v>
      </c>
      <c r="AA74" s="262"/>
    </row>
    <row r="75" spans="1:27" x14ac:dyDescent="0.25">
      <c r="B75" s="14"/>
      <c r="J75" s="21"/>
      <c r="AA75" s="262"/>
    </row>
    <row r="76" spans="1:27" x14ac:dyDescent="0.25">
      <c r="B76" s="14"/>
      <c r="H76" t="s">
        <v>5</v>
      </c>
      <c r="J76" s="21">
        <f>J74-INT(J74)</f>
        <v>0.47652820781188332</v>
      </c>
      <c r="AA76" s="262"/>
    </row>
    <row r="77" spans="1:27" x14ac:dyDescent="0.25">
      <c r="A77" t="s">
        <v>4</v>
      </c>
      <c r="B77" s="14">
        <f>B73-INT(B73)</f>
        <v>0.61666666658129543</v>
      </c>
      <c r="J77" s="21"/>
      <c r="AA77" s="262"/>
    </row>
    <row r="78" spans="1:27" x14ac:dyDescent="0.25">
      <c r="B78" s="14"/>
      <c r="H78" t="s">
        <v>6</v>
      </c>
      <c r="J78" s="21">
        <f>J76*60</f>
        <v>28.591692468712999</v>
      </c>
      <c r="AA78" s="262"/>
    </row>
    <row r="79" spans="1:27" x14ac:dyDescent="0.25">
      <c r="A79" t="s">
        <v>3</v>
      </c>
      <c r="B79" s="14">
        <f>B77*60</f>
        <v>36.999999994877726</v>
      </c>
      <c r="AA79" s="262"/>
    </row>
    <row r="80" spans="1:27" x14ac:dyDescent="0.25">
      <c r="B80" s="14"/>
      <c r="AA80" s="262"/>
    </row>
    <row r="81" spans="1:27" x14ac:dyDescent="0.25">
      <c r="A81" t="s">
        <v>5</v>
      </c>
      <c r="B81" s="14">
        <f>B79-INT(B79)</f>
        <v>0.99999999487772584</v>
      </c>
      <c r="AA81" s="262"/>
    </row>
    <row r="82" spans="1:27" x14ac:dyDescent="0.25">
      <c r="B82" s="14"/>
      <c r="AA82" s="262"/>
    </row>
    <row r="83" spans="1:27" x14ac:dyDescent="0.25">
      <c r="A83" t="s">
        <v>6</v>
      </c>
      <c r="B83" s="14">
        <f>B81*60</f>
        <v>59.99999969266355</v>
      </c>
      <c r="AA83" s="262"/>
    </row>
    <row r="84" spans="1:27" x14ac:dyDescent="0.25">
      <c r="B84" s="14"/>
      <c r="AA84" s="262"/>
    </row>
    <row r="85" spans="1:27" x14ac:dyDescent="0.25">
      <c r="AA85" s="262"/>
    </row>
    <row r="86" spans="1:27" x14ac:dyDescent="0.25">
      <c r="AA86" s="262"/>
    </row>
    <row r="87" spans="1:27" x14ac:dyDescent="0.25">
      <c r="A87" s="3" t="s">
        <v>7</v>
      </c>
      <c r="H87" s="3" t="s">
        <v>33</v>
      </c>
      <c r="I87" s="3"/>
      <c r="O87" s="3" t="s">
        <v>37</v>
      </c>
      <c r="AA87" s="262"/>
    </row>
    <row r="88" spans="1:27" x14ac:dyDescent="0.25">
      <c r="A88">
        <f>B74/12*360</f>
        <v>198.49999999743886</v>
      </c>
      <c r="B88">
        <v>0</v>
      </c>
      <c r="D88" t="s">
        <v>8</v>
      </c>
      <c r="E88" s="18">
        <f>SIN(RADIANS(A88))*0.5</f>
        <v>-0.1586523281813508</v>
      </c>
      <c r="F88" s="18">
        <v>0</v>
      </c>
      <c r="H88" s="14">
        <f>J70/24*360</f>
        <v>45.619132051952974</v>
      </c>
      <c r="I88">
        <v>0</v>
      </c>
      <c r="K88" t="s">
        <v>8</v>
      </c>
      <c r="L88" s="18">
        <f>SIN(RADIANS(H88))*0.6</f>
        <v>0.4288237616936284</v>
      </c>
      <c r="M88" s="18">
        <v>0</v>
      </c>
      <c r="O88" s="14">
        <f>J70/24*360</f>
        <v>45.619132051952974</v>
      </c>
      <c r="P88">
        <v>0</v>
      </c>
      <c r="R88" t="s">
        <v>8</v>
      </c>
      <c r="S88" s="18">
        <f>SIN(RADIANS(O88))*1</f>
        <v>0.71470626948938065</v>
      </c>
      <c r="T88" s="18">
        <v>0</v>
      </c>
      <c r="AA88" s="262"/>
    </row>
    <row r="89" spans="1:27" x14ac:dyDescent="0.25">
      <c r="A89">
        <v>360</v>
      </c>
      <c r="B89">
        <v>0</v>
      </c>
      <c r="D89" t="s">
        <v>9</v>
      </c>
      <c r="E89" s="18">
        <f>COS(RADIANS(A88))*0.5</f>
        <v>-0.47416182761019149</v>
      </c>
      <c r="F89" s="18">
        <v>0</v>
      </c>
      <c r="H89">
        <v>360</v>
      </c>
      <c r="I89">
        <v>0</v>
      </c>
      <c r="K89" t="s">
        <v>9</v>
      </c>
      <c r="L89" s="18">
        <f>COS(RADIANS(H88))*0.6</f>
        <v>0.41965483603424159</v>
      </c>
      <c r="M89" s="18">
        <v>0</v>
      </c>
      <c r="O89">
        <v>360</v>
      </c>
      <c r="P89">
        <v>0</v>
      </c>
      <c r="R89" t="s">
        <v>9</v>
      </c>
      <c r="S89" s="18">
        <f>COS(RADIANS(O88))*1</f>
        <v>0.69942472672373601</v>
      </c>
      <c r="T89" s="18">
        <v>0</v>
      </c>
      <c r="AA89" s="262"/>
    </row>
    <row r="90" spans="1:27" x14ac:dyDescent="0.25">
      <c r="AA90" s="262"/>
    </row>
    <row r="91" spans="1:27" x14ac:dyDescent="0.25">
      <c r="A91" s="3" t="s">
        <v>10</v>
      </c>
      <c r="AA91" s="262"/>
    </row>
    <row r="92" spans="1:27" x14ac:dyDescent="0.25">
      <c r="A92">
        <f>B77*360</f>
        <v>221.99999996926636</v>
      </c>
      <c r="B92">
        <v>360</v>
      </c>
      <c r="D92" t="s">
        <v>8</v>
      </c>
      <c r="E92" s="18">
        <f>SIN(RADIANS(A92))*0.9</f>
        <v>-0.60221754536420946</v>
      </c>
      <c r="F92" s="18">
        <v>0</v>
      </c>
      <c r="H92" s="22" t="s">
        <v>34</v>
      </c>
      <c r="I92" s="22"/>
      <c r="J92" s="22"/>
      <c r="O92" s="3" t="s">
        <v>419</v>
      </c>
      <c r="R92" t="s">
        <v>421</v>
      </c>
      <c r="AA92" s="262"/>
    </row>
    <row r="93" spans="1:27" x14ac:dyDescent="0.25">
      <c r="A93">
        <v>0</v>
      </c>
      <c r="B93">
        <v>0</v>
      </c>
      <c r="D93" t="s">
        <v>9</v>
      </c>
      <c r="E93" s="18">
        <f>COS(RADIANS(A92))*0.9</f>
        <v>-0.66883034325268631</v>
      </c>
      <c r="F93" s="18">
        <v>0</v>
      </c>
      <c r="H93" s="14">
        <f>J74/60*360</f>
        <v>14.8591692468713</v>
      </c>
      <c r="I93">
        <v>360</v>
      </c>
      <c r="K93" t="s">
        <v>8</v>
      </c>
      <c r="L93" s="18">
        <f>SIN(RADIANS(H93))*1</f>
        <v>0.25644405829411743</v>
      </c>
      <c r="M93" s="18">
        <v>0</v>
      </c>
      <c r="O93" s="13">
        <f>C18</f>
        <v>259.86137223207174</v>
      </c>
      <c r="P93" t="s">
        <v>55</v>
      </c>
      <c r="Q93" t="s">
        <v>8</v>
      </c>
      <c r="R93" s="15">
        <f>SIN(RADIANS(O93))*(0.71+S96/300)</f>
        <v>-0.65371201699983139</v>
      </c>
      <c r="S93" s="15">
        <v>0</v>
      </c>
      <c r="AA93" s="262"/>
    </row>
    <row r="94" spans="1:27" x14ac:dyDescent="0.25">
      <c r="H94">
        <v>0</v>
      </c>
      <c r="I94">
        <v>0</v>
      </c>
      <c r="K94" t="s">
        <v>9</v>
      </c>
      <c r="L94" s="18">
        <f>COS(RADIANS(H93))*1</f>
        <v>0.96655907474175795</v>
      </c>
      <c r="M94" s="18">
        <v>0</v>
      </c>
      <c r="O94">
        <v>360</v>
      </c>
      <c r="P94" t="s">
        <v>55</v>
      </c>
      <c r="Q94" t="s">
        <v>9</v>
      </c>
      <c r="R94" s="15">
        <f>COS(RADIANS(O93))*(0.71+S96/300)</f>
        <v>-0.11689860467532526</v>
      </c>
      <c r="S94" s="15">
        <v>0</v>
      </c>
      <c r="AA94" s="262"/>
    </row>
    <row r="95" spans="1:27" x14ac:dyDescent="0.25">
      <c r="AA95" s="262"/>
    </row>
    <row r="96" spans="1:27" x14ac:dyDescent="0.25">
      <c r="A96" s="3" t="s">
        <v>11</v>
      </c>
      <c r="R96" t="s">
        <v>407</v>
      </c>
      <c r="S96">
        <f>'Sonne Mond'!H87</f>
        <v>-13.775449190988692</v>
      </c>
      <c r="AA96" s="262"/>
    </row>
    <row r="97" spans="1:27" x14ac:dyDescent="0.25">
      <c r="A97">
        <f>B81*360</f>
        <v>359.9999981559813</v>
      </c>
      <c r="B97">
        <v>360</v>
      </c>
      <c r="D97" t="s">
        <v>8</v>
      </c>
      <c r="E97" s="18">
        <f>SIN(RADIANS(A97))*0.9</f>
        <v>-2.8965777996861959E-8</v>
      </c>
      <c r="F97" s="18">
        <v>0</v>
      </c>
      <c r="H97" s="3" t="s">
        <v>35</v>
      </c>
      <c r="O97" s="3" t="s">
        <v>420</v>
      </c>
      <c r="AA97" s="262"/>
    </row>
    <row r="98" spans="1:27" x14ac:dyDescent="0.25">
      <c r="A98">
        <v>0</v>
      </c>
      <c r="B98">
        <v>0</v>
      </c>
      <c r="D98" t="s">
        <v>9</v>
      </c>
      <c r="E98" s="18">
        <f>COS(RADIANS(A97))*0.9</f>
        <v>0.89999999999999947</v>
      </c>
      <c r="F98" s="18">
        <v>0</v>
      </c>
      <c r="H98" s="14">
        <f>J78/60*360</f>
        <v>171.55015481227798</v>
      </c>
      <c r="I98">
        <v>360</v>
      </c>
      <c r="K98" t="s">
        <v>8</v>
      </c>
      <c r="L98" s="18">
        <f>SIN(RADIANS(H98))*1</f>
        <v>0.14694360314594732</v>
      </c>
      <c r="M98" s="18">
        <v>0</v>
      </c>
      <c r="O98" s="13">
        <f>C36</f>
        <v>286.04703704912833</v>
      </c>
      <c r="P98" t="s">
        <v>56</v>
      </c>
      <c r="Q98" t="s">
        <v>8</v>
      </c>
      <c r="R98" s="37">
        <f>SIN(RADIANS(O98))*(0.71+S101/300)</f>
        <v>-0.55762860464032016</v>
      </c>
      <c r="S98" s="37">
        <v>0</v>
      </c>
      <c r="AA98" s="262"/>
    </row>
    <row r="99" spans="1:27" x14ac:dyDescent="0.25">
      <c r="H99">
        <v>0</v>
      </c>
      <c r="I99">
        <v>0</v>
      </c>
      <c r="K99" t="s">
        <v>9</v>
      </c>
      <c r="L99" s="18">
        <f>COS(RADIANS(H98))*1</f>
        <v>-0.98914487184359723</v>
      </c>
      <c r="M99" s="18">
        <v>0</v>
      </c>
      <c r="O99">
        <v>360</v>
      </c>
      <c r="P99" t="s">
        <v>56</v>
      </c>
      <c r="Q99" t="s">
        <v>9</v>
      </c>
      <c r="R99" s="37">
        <f>COS(RADIANS(O98))*(0.71+S101/300)</f>
        <v>0.16039297258073479</v>
      </c>
      <c r="S99" s="37">
        <v>0</v>
      </c>
      <c r="AA99" s="262"/>
    </row>
    <row r="100" spans="1:27" x14ac:dyDescent="0.25">
      <c r="AA100" s="262"/>
    </row>
    <row r="101" spans="1:27" x14ac:dyDescent="0.25">
      <c r="R101" t="s">
        <v>407</v>
      </c>
      <c r="S101">
        <f>'Sonne Mond'!H85</f>
        <v>-38.928747425154839</v>
      </c>
      <c r="AA101" s="262"/>
    </row>
    <row r="102" spans="1:27" x14ac:dyDescent="0.25">
      <c r="AA102" s="262"/>
    </row>
    <row r="103" spans="1:27" x14ac:dyDescent="0.25">
      <c r="AA103" s="262"/>
    </row>
    <row r="104" spans="1:27" x14ac:dyDescent="0.25">
      <c r="AA104" s="262"/>
    </row>
    <row r="105" spans="1:27" x14ac:dyDescent="0.25">
      <c r="AA105" s="262"/>
    </row>
    <row r="106" spans="1:27" x14ac:dyDescent="0.25">
      <c r="AA106" s="262"/>
    </row>
    <row r="107" spans="1:27" x14ac:dyDescent="0.25">
      <c r="A107" s="3" t="s">
        <v>55</v>
      </c>
      <c r="AA107" s="262"/>
    </row>
    <row r="108" spans="1:27" ht="15.75" x14ac:dyDescent="0.25">
      <c r="A108" s="14">
        <f>J110</f>
        <v>315.03001914670125</v>
      </c>
      <c r="B108">
        <v>0</v>
      </c>
      <c r="C108" t="s">
        <v>55</v>
      </c>
      <c r="D108" t="s">
        <v>8</v>
      </c>
      <c r="E108" s="15">
        <f>SIN(RADIANS(A108))*J115*$J$117</f>
        <v>-0.44126963458843715</v>
      </c>
      <c r="F108" s="15">
        <v>0</v>
      </c>
      <c r="J108" s="212" t="s">
        <v>101</v>
      </c>
      <c r="K108" s="213" t="s">
        <v>100</v>
      </c>
      <c r="L108" s="216" t="s">
        <v>156</v>
      </c>
      <c r="M108" s="145" t="s">
        <v>157</v>
      </c>
      <c r="N108" s="3" t="s">
        <v>158</v>
      </c>
      <c r="O108" s="217" t="s">
        <v>159</v>
      </c>
      <c r="P108" s="158" t="s">
        <v>160</v>
      </c>
      <c r="Q108" s="213" t="s">
        <v>161</v>
      </c>
      <c r="R108" s="3" t="s">
        <v>162</v>
      </c>
      <c r="S108" s="161" t="s">
        <v>163</v>
      </c>
      <c r="AA108" s="262"/>
    </row>
    <row r="109" spans="1:27" x14ac:dyDescent="0.25">
      <c r="A109">
        <v>360</v>
      </c>
      <c r="B109">
        <v>0</v>
      </c>
      <c r="C109" t="s">
        <v>55</v>
      </c>
      <c r="D109" t="s">
        <v>9</v>
      </c>
      <c r="E109" s="15">
        <f>COS(RADIANS(A108))*J115*$J$117</f>
        <v>0.44173226842141133</v>
      </c>
      <c r="F109" s="15">
        <v>0</v>
      </c>
      <c r="AA109" s="262"/>
    </row>
    <row r="110" spans="1:27" x14ac:dyDescent="0.25">
      <c r="J110" s="211">
        <f>'Sonne Mond'!C113</f>
        <v>315.03001914670125</v>
      </c>
      <c r="K110" s="75">
        <f>'Sonne Mond'!C72</f>
        <v>-80.90828659759994</v>
      </c>
      <c r="L110" s="54">
        <f>Planeten!E203</f>
        <v>317.53904585838859</v>
      </c>
      <c r="M110" s="54">
        <f>Planeten!F203</f>
        <v>267.32306112937147</v>
      </c>
      <c r="N110" s="54">
        <f>Planeten!G203</f>
        <v>40.090806196938594</v>
      </c>
      <c r="O110" s="54">
        <f>Planeten!H203</f>
        <v>19.510350150830764</v>
      </c>
      <c r="P110" s="54">
        <f>Planeten!I203</f>
        <v>256.7131091202711</v>
      </c>
      <c r="Q110" s="54">
        <f>Planeten!J203</f>
        <v>286.0190487304485</v>
      </c>
      <c r="R110" s="54">
        <f>Planeten!K203</f>
        <v>26.820830336617913</v>
      </c>
      <c r="S110" s="54">
        <f>Planeten!L203</f>
        <v>346.30089272696637</v>
      </c>
      <c r="AA110" s="262"/>
    </row>
    <row r="111" spans="1:27" x14ac:dyDescent="0.25">
      <c r="J111" s="84">
        <f>J110/360</f>
        <v>0.87508338651861461</v>
      </c>
      <c r="K111" s="84">
        <f>K110/360</f>
        <v>-0.22474524054888873</v>
      </c>
      <c r="L111" s="210">
        <f>Planeten!E205</f>
        <v>0.88205290516219048</v>
      </c>
      <c r="M111" s="210">
        <f>Planeten!F205</f>
        <v>0.74256405869269848</v>
      </c>
      <c r="N111" s="210">
        <f>Planeten!G205</f>
        <v>0.11136335054705165</v>
      </c>
      <c r="O111" s="210">
        <f>Planeten!H205</f>
        <v>5.4195417085641011E-2</v>
      </c>
      <c r="P111" s="210">
        <f>Planeten!I205</f>
        <v>0.71309196977853084</v>
      </c>
      <c r="Q111" s="210">
        <f>Planeten!J205</f>
        <v>0.79449735758457918</v>
      </c>
      <c r="R111" s="210">
        <f>Planeten!K205</f>
        <v>7.4502306490605311E-2</v>
      </c>
      <c r="S111" s="210">
        <f>Planeten!L205</f>
        <v>0.96194692424157324</v>
      </c>
      <c r="AA111" s="262"/>
    </row>
    <row r="112" spans="1:27" x14ac:dyDescent="0.25">
      <c r="A112" s="3" t="s">
        <v>56</v>
      </c>
      <c r="AA112" s="262"/>
    </row>
    <row r="113" spans="1:27" x14ac:dyDescent="0.25">
      <c r="A113" s="21">
        <f>K110</f>
        <v>-80.90828659759994</v>
      </c>
      <c r="B113">
        <v>0</v>
      </c>
      <c r="C113" t="s">
        <v>56</v>
      </c>
      <c r="D113" t="s">
        <v>8</v>
      </c>
      <c r="E113" s="37">
        <f>SIN(RADIANS(A113))*K115*$J$117</f>
        <v>-0.64229180234565542</v>
      </c>
      <c r="F113" s="37">
        <v>0</v>
      </c>
      <c r="J113" s="81">
        <f>'Sonne Mond'!C116</f>
        <v>-17.036008991379937</v>
      </c>
      <c r="K113" s="81">
        <f>'Sonne Mond'!C76</f>
        <v>-21.508078844597033</v>
      </c>
      <c r="L113" s="54">
        <f>Planeten!E207</f>
        <v>-18.473326815875708</v>
      </c>
      <c r="M113" s="54">
        <f>Planeten!F207</f>
        <v>-20.871133662144004</v>
      </c>
      <c r="N113" s="54">
        <f>Planeten!G207</f>
        <v>15.284187033496863</v>
      </c>
      <c r="O113" s="54">
        <f>Planeten!H207</f>
        <v>8.5635649846822162</v>
      </c>
      <c r="P113" s="54">
        <f>Planeten!I207</f>
        <v>-22.251352982002217</v>
      </c>
      <c r="Q113" s="54">
        <f>Planeten!J207</f>
        <v>-22.166441804456056</v>
      </c>
      <c r="R113" s="54">
        <f>Planeten!K207</f>
        <v>10.516467557024868</v>
      </c>
      <c r="S113" s="54">
        <f>Planeten!L207</f>
        <v>-6.9066994644572048</v>
      </c>
      <c r="AA113" s="262"/>
    </row>
    <row r="114" spans="1:27" x14ac:dyDescent="0.25">
      <c r="A114">
        <v>360</v>
      </c>
      <c r="B114">
        <v>0</v>
      </c>
      <c r="C114" t="s">
        <v>56</v>
      </c>
      <c r="D114" t="s">
        <v>9</v>
      </c>
      <c r="E114" s="37">
        <f>COS(RADIANS(A113))*K115*$J$117</f>
        <v>0.10278320379299262</v>
      </c>
      <c r="F114" s="37">
        <v>0</v>
      </c>
      <c r="AA114" s="262"/>
    </row>
    <row r="115" spans="1:27" x14ac:dyDescent="0.25">
      <c r="H115" t="s">
        <v>405</v>
      </c>
      <c r="J115">
        <f>(0.5*(90-(J113))/90)</f>
        <v>0.5946444943965552</v>
      </c>
      <c r="K115">
        <f>(0.5*(90-(K113))/90)</f>
        <v>0.61948932691442793</v>
      </c>
      <c r="L115">
        <f>(0.5*(90-(L113))/90)</f>
        <v>0.60262959342153166</v>
      </c>
      <c r="M115">
        <f t="shared" ref="M115:S115" si="0">(0.5*(90-(M113))/90)</f>
        <v>0.61595074256746674</v>
      </c>
      <c r="N115">
        <f t="shared" si="0"/>
        <v>0.41508784981390634</v>
      </c>
      <c r="O115">
        <f t="shared" si="0"/>
        <v>0.45242463897398771</v>
      </c>
      <c r="P115">
        <f t="shared" si="0"/>
        <v>0.62361862767779008</v>
      </c>
      <c r="Q115">
        <f>(0.5*(90-(Q113))/90)</f>
        <v>0.62314689891364472</v>
      </c>
      <c r="R115">
        <f>(0.5*(90-(R113))/90)</f>
        <v>0.44157518023875075</v>
      </c>
      <c r="S115">
        <f t="shared" si="0"/>
        <v>0.53837055258031785</v>
      </c>
      <c r="AA115" s="262"/>
    </row>
    <row r="116" spans="1:27" x14ac:dyDescent="0.25">
      <c r="L116" s="54"/>
      <c r="M116" s="54"/>
      <c r="N116" s="54"/>
      <c r="O116" s="54"/>
      <c r="P116" s="54"/>
      <c r="Q116" s="54"/>
      <c r="R116" s="54"/>
      <c r="S116" s="54"/>
      <c r="AA116" s="262"/>
    </row>
    <row r="117" spans="1:27" x14ac:dyDescent="0.25">
      <c r="A117" s="3" t="s">
        <v>156</v>
      </c>
      <c r="H117" t="s">
        <v>102</v>
      </c>
      <c r="J117" s="15">
        <v>1.05</v>
      </c>
      <c r="L117" s="209"/>
      <c r="M117" s="209"/>
      <c r="N117" s="209"/>
      <c r="O117" s="209"/>
      <c r="P117" s="209"/>
      <c r="Q117" s="209"/>
      <c r="R117" s="209"/>
      <c r="S117" s="209"/>
      <c r="AA117" s="262"/>
    </row>
    <row r="118" spans="1:27" x14ac:dyDescent="0.25">
      <c r="A118" s="21">
        <f>L110</f>
        <v>317.53904585838859</v>
      </c>
      <c r="B118">
        <v>0</v>
      </c>
      <c r="C118" t="s">
        <v>56</v>
      </c>
      <c r="D118" t="s">
        <v>8</v>
      </c>
      <c r="E118" s="37">
        <f>SIN(RADIANS(A118))*L115*$J$117</f>
        <v>-0.42716916174495428</v>
      </c>
      <c r="F118" s="37">
        <v>0</v>
      </c>
      <c r="AA118" s="262"/>
    </row>
    <row r="119" spans="1:27" x14ac:dyDescent="0.25">
      <c r="A119">
        <v>360</v>
      </c>
      <c r="B119">
        <v>0</v>
      </c>
      <c r="C119" t="s">
        <v>56</v>
      </c>
      <c r="D119" t="s">
        <v>9</v>
      </c>
      <c r="E119" s="37">
        <f>COS(RADIANS(A118))*L115*$J$117</f>
        <v>0.46681161390374842</v>
      </c>
      <c r="F119" s="37">
        <v>0</v>
      </c>
      <c r="AA119" s="262"/>
    </row>
    <row r="120" spans="1:27" x14ac:dyDescent="0.25">
      <c r="AA120" s="262"/>
    </row>
    <row r="121" spans="1:27" x14ac:dyDescent="0.25">
      <c r="AA121" s="262"/>
    </row>
    <row r="122" spans="1:27" x14ac:dyDescent="0.25">
      <c r="A122" s="3" t="s">
        <v>157</v>
      </c>
      <c r="AA122" s="262"/>
    </row>
    <row r="123" spans="1:27" x14ac:dyDescent="0.25">
      <c r="A123" s="21">
        <f>M110</f>
        <v>267.32306112937147</v>
      </c>
      <c r="B123">
        <v>0</v>
      </c>
      <c r="C123" t="s">
        <v>56</v>
      </c>
      <c r="D123" t="s">
        <v>8</v>
      </c>
      <c r="E123" s="37">
        <f>SIN(RADIANS(A123))*M115*$J$117</f>
        <v>-0.64604251825545222</v>
      </c>
      <c r="F123" s="37">
        <v>0</v>
      </c>
      <c r="AA123" s="262"/>
    </row>
    <row r="124" spans="1:27" x14ac:dyDescent="0.25">
      <c r="A124">
        <v>360</v>
      </c>
      <c r="B124">
        <v>0</v>
      </c>
      <c r="C124" t="s">
        <v>56</v>
      </c>
      <c r="D124" t="s">
        <v>9</v>
      </c>
      <c r="E124" s="37">
        <f>COS(RADIANS(A123))*M115*$J$117</f>
        <v>-3.0205991056117338E-2</v>
      </c>
      <c r="F124" s="37">
        <v>0</v>
      </c>
      <c r="AA124" s="262"/>
    </row>
    <row r="125" spans="1:27" x14ac:dyDescent="0.25">
      <c r="AA125" s="262"/>
    </row>
    <row r="126" spans="1:27" x14ac:dyDescent="0.25">
      <c r="AA126" s="262"/>
    </row>
    <row r="127" spans="1:27" x14ac:dyDescent="0.25">
      <c r="A127" s="3" t="s">
        <v>159</v>
      </c>
      <c r="AA127" s="262"/>
    </row>
    <row r="128" spans="1:27" x14ac:dyDescent="0.25">
      <c r="A128" s="21">
        <f>O110</f>
        <v>19.510350150830764</v>
      </c>
      <c r="B128">
        <v>0</v>
      </c>
      <c r="C128" t="s">
        <v>56</v>
      </c>
      <c r="D128" t="s">
        <v>8</v>
      </c>
      <c r="E128" s="37">
        <f>SIN(RADIANS(A128))*O115*$J$117</f>
        <v>0.15865445968352931</v>
      </c>
      <c r="F128" s="37">
        <v>0</v>
      </c>
      <c r="AA128" s="262"/>
    </row>
    <row r="129" spans="1:27" x14ac:dyDescent="0.25">
      <c r="A129">
        <v>360</v>
      </c>
      <c r="B129">
        <v>0</v>
      </c>
      <c r="C129" t="s">
        <v>56</v>
      </c>
      <c r="D129" t="s">
        <v>9</v>
      </c>
      <c r="E129" s="37">
        <f>COS(RADIANS(A128))*O115*$J$117</f>
        <v>0.44776929540023364</v>
      </c>
      <c r="F129" s="37">
        <v>0</v>
      </c>
      <c r="AA129" s="262"/>
    </row>
    <row r="130" spans="1:27" x14ac:dyDescent="0.25">
      <c r="AA130" s="262"/>
    </row>
    <row r="131" spans="1:27" x14ac:dyDescent="0.25">
      <c r="AA131" s="262"/>
    </row>
    <row r="132" spans="1:27" x14ac:dyDescent="0.25">
      <c r="A132" s="3" t="s">
        <v>160</v>
      </c>
      <c r="AA132" s="262"/>
    </row>
    <row r="133" spans="1:27" x14ac:dyDescent="0.25">
      <c r="A133" s="21">
        <f>P110</f>
        <v>256.7131091202711</v>
      </c>
      <c r="B133">
        <v>0</v>
      </c>
      <c r="C133" t="s">
        <v>56</v>
      </c>
      <c r="D133" t="s">
        <v>8</v>
      </c>
      <c r="E133" s="37">
        <f>SIN(RADIANS(A133))*P115*$J$117</f>
        <v>-0.63727154532160157</v>
      </c>
      <c r="F133" s="37">
        <v>0</v>
      </c>
      <c r="AA133" s="262"/>
    </row>
    <row r="134" spans="1:27" x14ac:dyDescent="0.25">
      <c r="A134">
        <v>360</v>
      </c>
      <c r="B134">
        <v>0</v>
      </c>
      <c r="C134" t="s">
        <v>56</v>
      </c>
      <c r="D134" t="s">
        <v>9</v>
      </c>
      <c r="E134" s="37">
        <f>COS(RADIANS(A133))*P115*$J$117</f>
        <v>-0.15049066439745656</v>
      </c>
      <c r="F134" s="37">
        <v>0</v>
      </c>
      <c r="AA134" s="262"/>
    </row>
    <row r="135" spans="1:27" x14ac:dyDescent="0.25">
      <c r="AA135" s="262"/>
    </row>
    <row r="136" spans="1:27" x14ac:dyDescent="0.25">
      <c r="AA136" s="262"/>
    </row>
    <row r="137" spans="1:27" x14ac:dyDescent="0.25">
      <c r="A137" s="3" t="s">
        <v>161</v>
      </c>
      <c r="AA137" s="262"/>
    </row>
    <row r="138" spans="1:27" x14ac:dyDescent="0.25">
      <c r="A138" s="21">
        <f>Q110</f>
        <v>286.0190487304485</v>
      </c>
      <c r="B138">
        <v>0</v>
      </c>
      <c r="C138" t="s">
        <v>56</v>
      </c>
      <c r="D138" t="s">
        <v>8</v>
      </c>
      <c r="E138" s="37">
        <f>SIN(RADIANS(A138))*Q115*$J$117</f>
        <v>-0.62889761240942044</v>
      </c>
      <c r="F138" s="37">
        <v>0</v>
      </c>
      <c r="AA138" s="262"/>
    </row>
    <row r="139" spans="1:27" x14ac:dyDescent="0.25">
      <c r="A139">
        <v>360</v>
      </c>
      <c r="B139">
        <v>0</v>
      </c>
      <c r="C139" t="s">
        <v>56</v>
      </c>
      <c r="D139" t="s">
        <v>9</v>
      </c>
      <c r="E139" s="37">
        <f>COS(RADIANS(A138))*Q115*$J$117</f>
        <v>0.18055978687973656</v>
      </c>
      <c r="F139" s="37">
        <v>0</v>
      </c>
      <c r="AA139" s="262"/>
    </row>
    <row r="140" spans="1:27" x14ac:dyDescent="0.25">
      <c r="AA140" s="262"/>
    </row>
    <row r="141" spans="1:27" x14ac:dyDescent="0.25">
      <c r="AA141" s="262"/>
    </row>
    <row r="142" spans="1:27" x14ac:dyDescent="0.25">
      <c r="A142" s="3" t="s">
        <v>162</v>
      </c>
      <c r="AA142" s="262"/>
    </row>
    <row r="143" spans="1:27" x14ac:dyDescent="0.25">
      <c r="A143" s="21">
        <f>R110</f>
        <v>26.820830336617913</v>
      </c>
      <c r="B143">
        <v>0</v>
      </c>
      <c r="C143" t="s">
        <v>56</v>
      </c>
      <c r="D143" t="s">
        <v>8</v>
      </c>
      <c r="E143" s="37">
        <f>SIN(RADIANS(A143))*R115*$J$117</f>
        <v>0.20920159284084958</v>
      </c>
      <c r="F143" s="37">
        <v>0</v>
      </c>
      <c r="AA143" s="262"/>
    </row>
    <row r="144" spans="1:27" x14ac:dyDescent="0.25">
      <c r="A144">
        <v>360</v>
      </c>
      <c r="B144">
        <v>0</v>
      </c>
      <c r="C144" t="s">
        <v>56</v>
      </c>
      <c r="D144" t="s">
        <v>9</v>
      </c>
      <c r="E144" s="37">
        <f>COS(RADIANS(A143))*R115*$J$117</f>
        <v>0.41377490128756278</v>
      </c>
      <c r="F144" s="37">
        <v>0</v>
      </c>
      <c r="AA144" s="262"/>
    </row>
    <row r="145" spans="1:27" x14ac:dyDescent="0.25">
      <c r="AA145" s="262"/>
    </row>
    <row r="146" spans="1:27" x14ac:dyDescent="0.25">
      <c r="AA146" s="262"/>
    </row>
    <row r="147" spans="1:27" x14ac:dyDescent="0.25">
      <c r="A147" s="3" t="s">
        <v>163</v>
      </c>
      <c r="AA147" s="262"/>
    </row>
    <row r="148" spans="1:27" x14ac:dyDescent="0.25">
      <c r="A148" s="21">
        <f>S110</f>
        <v>346.30089272696637</v>
      </c>
      <c r="B148">
        <v>0</v>
      </c>
      <c r="C148" t="s">
        <v>56</v>
      </c>
      <c r="D148" t="s">
        <v>8</v>
      </c>
      <c r="E148" s="37">
        <f>SIN(RADIANS(A148))*S115*$J$117</f>
        <v>-0.13387346053762483</v>
      </c>
      <c r="F148" s="37">
        <v>0</v>
      </c>
      <c r="AA148" s="262"/>
    </row>
    <row r="149" spans="1:27" x14ac:dyDescent="0.25">
      <c r="A149">
        <v>360</v>
      </c>
      <c r="B149">
        <v>0</v>
      </c>
      <c r="C149" t="s">
        <v>56</v>
      </c>
      <c r="D149" t="s">
        <v>9</v>
      </c>
      <c r="E149" s="37">
        <f>COS(RADIANS(A148))*S115*$J$117</f>
        <v>0.54920819437404211</v>
      </c>
      <c r="F149" s="37">
        <v>0</v>
      </c>
      <c r="AA149" s="262"/>
    </row>
    <row r="150" spans="1:27" x14ac:dyDescent="0.25">
      <c r="AA150" s="262"/>
    </row>
    <row r="151" spans="1:27" x14ac:dyDescent="0.25">
      <c r="AA151" s="262"/>
    </row>
    <row r="152" spans="1:27" x14ac:dyDescent="0.25">
      <c r="AA152" s="262"/>
    </row>
    <row r="153" spans="1:27" x14ac:dyDescent="0.25">
      <c r="A153" s="262"/>
      <c r="B153" s="262"/>
      <c r="C153" s="262"/>
      <c r="D153" s="262"/>
      <c r="E153" s="262"/>
      <c r="F153" s="262"/>
      <c r="G153" s="262"/>
      <c r="H153" s="262"/>
      <c r="I153" s="262"/>
      <c r="J153" s="262"/>
      <c r="K153" s="262"/>
      <c r="L153" s="262"/>
      <c r="M153" s="262"/>
      <c r="N153" s="262"/>
      <c r="O153" s="262"/>
      <c r="P153" s="262"/>
      <c r="Q153" s="262"/>
      <c r="R153" s="262"/>
      <c r="S153" s="262"/>
      <c r="T153" s="262"/>
      <c r="U153" s="262"/>
      <c r="V153" s="262"/>
      <c r="W153" s="262"/>
      <c r="X153" s="262"/>
      <c r="Y153" s="262"/>
      <c r="Z153" s="262"/>
      <c r="AA153" s="262"/>
    </row>
  </sheetData>
  <sheetProtection password="B62D" sheet="1" objects="1" scenarios="1" selectLockedCells="1"/>
  <mergeCells count="8">
    <mergeCell ref="K8:L8"/>
    <mergeCell ref="E8:F8"/>
    <mergeCell ref="AL38:AP38"/>
    <mergeCell ref="AL13:AP13"/>
    <mergeCell ref="AL18:AP18"/>
    <mergeCell ref="AL23:AP23"/>
    <mergeCell ref="AL28:AP28"/>
    <mergeCell ref="AL33:AP3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B5:Y17"/>
  <sheetViews>
    <sheetView topLeftCell="A4" workbookViewId="0">
      <selection activeCell="J12" sqref="J12"/>
    </sheetView>
  </sheetViews>
  <sheetFormatPr baseColWidth="10" defaultRowHeight="15" x14ac:dyDescent="0.25"/>
  <cols>
    <col min="2" max="2" width="25.42578125" customWidth="1"/>
    <col min="10" max="10" width="13.5703125" bestFit="1" customWidth="1"/>
  </cols>
  <sheetData>
    <row r="5" spans="2:25" ht="207" x14ac:dyDescent="0.25">
      <c r="B5" s="6" t="s">
        <v>24</v>
      </c>
      <c r="D5" s="6" t="s">
        <v>25</v>
      </c>
      <c r="E5" s="6" t="s">
        <v>26</v>
      </c>
      <c r="F5" s="6" t="s">
        <v>27</v>
      </c>
      <c r="G5" s="6" t="s">
        <v>28</v>
      </c>
      <c r="I5" t="s">
        <v>12</v>
      </c>
      <c r="J5" t="s">
        <v>13</v>
      </c>
      <c r="L5" s="5" t="s">
        <v>14</v>
      </c>
      <c r="M5" t="s">
        <v>15</v>
      </c>
      <c r="N5" s="6" t="s">
        <v>16</v>
      </c>
      <c r="O5" s="5" t="s">
        <v>17</v>
      </c>
      <c r="P5" s="6" t="s">
        <v>18</v>
      </c>
      <c r="Q5" s="6"/>
      <c r="R5" t="s">
        <v>19</v>
      </c>
      <c r="S5" t="s">
        <v>15</v>
      </c>
      <c r="T5" s="6" t="s">
        <v>20</v>
      </c>
      <c r="U5" t="s">
        <v>21</v>
      </c>
      <c r="W5" s="6" t="s">
        <v>22</v>
      </c>
      <c r="Y5" s="6" t="s">
        <v>23</v>
      </c>
    </row>
    <row r="6" spans="2:25" x14ac:dyDescent="0.25">
      <c r="B6" s="1">
        <f>Tabelle1!J64</f>
        <v>43497.734027777777</v>
      </c>
      <c r="C6" s="9">
        <f>B6</f>
        <v>43497.734027777777</v>
      </c>
      <c r="D6" s="12">
        <f>B6-INT(B6)</f>
        <v>0.73402777777664596</v>
      </c>
      <c r="E6" s="13">
        <f>2451545+B6-DATE(2000,1,1)</f>
        <v>2458516.7340277778</v>
      </c>
      <c r="F6" s="9">
        <f>E6-2451545.5</f>
        <v>6971.2340277777985</v>
      </c>
      <c r="G6" s="14">
        <f>F6/36525</f>
        <v>0.19086198570233534</v>
      </c>
      <c r="I6" s="7">
        <f>INT(2451545+B6-DATE(2000,1,1))</f>
        <v>2458516</v>
      </c>
      <c r="J6" s="8">
        <f>(I6-2451545.5)/36525</f>
        <v>0.19084188911704311</v>
      </c>
      <c r="K6" s="8"/>
      <c r="L6" s="9">
        <f>6.697376+2400.05134*J6+1.002738*0</f>
        <v>464.72770770349075</v>
      </c>
      <c r="M6" s="10">
        <f>L6-INT(L6/24)*24</f>
        <v>8.7277077034907506</v>
      </c>
      <c r="N6" s="11">
        <f>M6/24</f>
        <v>0.36365448764544794</v>
      </c>
      <c r="O6">
        <f>M6*15</f>
        <v>130.91561555236126</v>
      </c>
      <c r="P6" s="11">
        <f>N6+Tabelle1!C12/60/24*4</f>
        <v>0.39068226542322571</v>
      </c>
      <c r="Q6" s="11"/>
      <c r="R6" s="9">
        <f>6.697376+2400.05134*J6+1.002738*D6*24</f>
        <v>482.39260880346353</v>
      </c>
      <c r="S6">
        <f>R6-INT(R6/24)*24</f>
        <v>2.3926088034635313</v>
      </c>
      <c r="T6" s="223">
        <f>S6/24</f>
        <v>9.9692033477647143E-2</v>
      </c>
      <c r="U6">
        <f>S6*15</f>
        <v>35.88913205195297</v>
      </c>
      <c r="W6">
        <f>U6+Tabelle1!C12</f>
        <v>45.619132051952974</v>
      </c>
      <c r="X6" s="9">
        <f>W6/15</f>
        <v>3.0412754701301981</v>
      </c>
      <c r="Y6" s="223">
        <f>X6/24</f>
        <v>0.12671981125542492</v>
      </c>
    </row>
    <row r="10" spans="2:25" x14ac:dyDescent="0.25">
      <c r="B10" s="16">
        <f>Tabelle1!J64</f>
        <v>43497.734027777777</v>
      </c>
      <c r="C10" s="9">
        <f>B10</f>
        <v>43497.734027777777</v>
      </c>
      <c r="D10" s="12">
        <f>B10-INT(B10)</f>
        <v>0.73402777777664596</v>
      </c>
      <c r="E10" s="13">
        <f>2451545+B10-DATE(2000,1,1)</f>
        <v>2458516.7340277778</v>
      </c>
      <c r="F10" s="9">
        <f>E10-2451545.5</f>
        <v>6971.2340277777985</v>
      </c>
      <c r="G10" s="14">
        <f>F10/36525</f>
        <v>0.19086198570233534</v>
      </c>
    </row>
    <row r="14" spans="2:25" x14ac:dyDescent="0.25">
      <c r="C14" t="s">
        <v>60</v>
      </c>
    </row>
    <row r="16" spans="2:25" x14ac:dyDescent="0.25">
      <c r="D16" t="s">
        <v>57</v>
      </c>
      <c r="F16" t="s">
        <v>58</v>
      </c>
      <c r="G16" t="s">
        <v>59</v>
      </c>
    </row>
    <row r="17" spans="3:7" x14ac:dyDescent="0.25">
      <c r="C17" s="41">
        <f>280.46+0.9856474*F6</f>
        <v>7151.638694270715</v>
      </c>
      <c r="D17" s="13">
        <f>C17-INT(C17/360)*360</f>
        <v>311.63869427071495</v>
      </c>
      <c r="E17" s="41">
        <f>357.528+0.9856003*G6</f>
        <v>357.71611363036686</v>
      </c>
      <c r="F17" s="13">
        <f>E17-INT(E17/360)*360</f>
        <v>357.71611363036686</v>
      </c>
      <c r="G17" s="42">
        <f>D17+1.915*SIN(RADIANS(F17))+0.01997*SIN(RADIANS(2*F17))</f>
        <v>311.56078964804658</v>
      </c>
    </row>
  </sheetData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AF377"/>
  <sheetViews>
    <sheetView workbookViewId="0"/>
  </sheetViews>
  <sheetFormatPr baseColWidth="10" defaultRowHeight="15" x14ac:dyDescent="0.25"/>
  <cols>
    <col min="1" max="1" width="29.85546875" bestFit="1" customWidth="1"/>
  </cols>
  <sheetData>
    <row r="1" spans="1:32" ht="26.25" x14ac:dyDescent="0.25">
      <c r="A1" s="222">
        <f>Tabelle1!K8</f>
        <v>43497.775694444441</v>
      </c>
    </row>
    <row r="2" spans="1:32" x14ac:dyDescent="0.25">
      <c r="B2" s="31"/>
      <c r="C2" s="31"/>
      <c r="D2" s="31"/>
      <c r="E2" s="31"/>
      <c r="F2" s="31"/>
      <c r="G2" s="31"/>
      <c r="H2" s="31"/>
      <c r="I2" s="31"/>
      <c r="J2" s="31"/>
      <c r="K2" s="31"/>
      <c r="V2" s="19"/>
      <c r="W2" s="19"/>
      <c r="X2" s="19"/>
      <c r="Y2" s="19"/>
      <c r="Z2" s="34"/>
    </row>
    <row r="3" spans="1:32" x14ac:dyDescent="0.25">
      <c r="A3" t="s">
        <v>23</v>
      </c>
      <c r="B3" s="87">
        <f>Tabelle1!I21</f>
        <v>0.12671981125542492</v>
      </c>
      <c r="C3" s="9">
        <f>B3*24</f>
        <v>3.0412754701301981</v>
      </c>
      <c r="E3">
        <f>C3/24*360</f>
        <v>45.619132051952974</v>
      </c>
      <c r="Q3" s="32" t="s">
        <v>38</v>
      </c>
      <c r="V3" s="19"/>
      <c r="W3" s="19"/>
      <c r="X3" s="19"/>
      <c r="Y3" s="19"/>
      <c r="Z3" s="19"/>
    </row>
    <row r="4" spans="1:32" x14ac:dyDescent="0.25">
      <c r="V4" s="19"/>
      <c r="W4" s="19"/>
      <c r="X4" s="19"/>
      <c r="Y4" s="19"/>
      <c r="Z4" s="19"/>
    </row>
    <row r="5" spans="1:32" x14ac:dyDescent="0.25">
      <c r="V5" s="19"/>
      <c r="W5" s="30"/>
      <c r="X5" s="19"/>
      <c r="Y5" s="19"/>
      <c r="Z5" s="19"/>
    </row>
    <row r="6" spans="1:32" x14ac:dyDescent="0.25">
      <c r="A6" t="s">
        <v>39</v>
      </c>
      <c r="B6" s="15">
        <v>0.57999999999999996</v>
      </c>
      <c r="D6" t="s">
        <v>54</v>
      </c>
      <c r="F6" s="15">
        <v>0.64600000000000002</v>
      </c>
      <c r="H6" t="s">
        <v>40</v>
      </c>
      <c r="I6" s="15">
        <f>180-E3</f>
        <v>134.38086794804701</v>
      </c>
      <c r="L6" t="s">
        <v>41</v>
      </c>
      <c r="N6" s="23">
        <f>(1-B8)*SIN(RADIANS(I6))*F6</f>
        <v>0.20776511254056293</v>
      </c>
      <c r="V6" s="19"/>
      <c r="W6" s="19"/>
      <c r="X6" s="19"/>
      <c r="Y6" s="19"/>
      <c r="Z6" s="19"/>
      <c r="AE6" s="15"/>
      <c r="AF6" s="15"/>
    </row>
    <row r="7" spans="1:32" x14ac:dyDescent="0.25">
      <c r="V7" s="19"/>
      <c r="W7" s="30"/>
      <c r="X7" s="19"/>
      <c r="Y7" s="19"/>
      <c r="Z7" s="19"/>
    </row>
    <row r="8" spans="1:32" x14ac:dyDescent="0.25">
      <c r="A8" t="s">
        <v>42</v>
      </c>
      <c r="B8" s="15">
        <v>0.55000000000000004</v>
      </c>
      <c r="C8">
        <f>B8/B6</f>
        <v>0.94827586206896564</v>
      </c>
      <c r="H8" t="s">
        <v>43</v>
      </c>
      <c r="I8" s="24">
        <f>RADIANS(I6)</f>
        <v>2.3453885973811368</v>
      </c>
      <c r="L8" t="s">
        <v>44</v>
      </c>
      <c r="N8" s="23">
        <f>-(1-B8)*COS(RADIANS(I6))*F6</f>
        <v>0.20332276805859006</v>
      </c>
      <c r="V8" s="19"/>
      <c r="W8" s="19"/>
      <c r="X8" s="19"/>
      <c r="Y8" s="19"/>
      <c r="Z8" s="19"/>
      <c r="AE8" s="9"/>
      <c r="AF8" s="9"/>
    </row>
    <row r="9" spans="1:32" x14ac:dyDescent="0.25">
      <c r="D9" t="s">
        <v>45</v>
      </c>
      <c r="V9" s="19"/>
      <c r="W9" s="19"/>
      <c r="X9" s="19"/>
      <c r="Y9" s="19"/>
      <c r="Z9" s="19"/>
      <c r="AE9" s="9"/>
      <c r="AF9" s="9"/>
    </row>
    <row r="10" spans="1:32" ht="18" x14ac:dyDescent="0.25">
      <c r="A10" t="s">
        <v>46</v>
      </c>
      <c r="B10" s="25">
        <f>SQRT(B6^2-B8^2)</f>
        <v>0.1841195263952195</v>
      </c>
      <c r="D10" s="26" t="s">
        <v>47</v>
      </c>
      <c r="E10" s="26" t="s">
        <v>48</v>
      </c>
      <c r="H10" s="26" t="s">
        <v>49</v>
      </c>
      <c r="I10" s="26" t="s">
        <v>50</v>
      </c>
      <c r="V10" s="19"/>
      <c r="W10" s="19"/>
      <c r="X10" s="19"/>
      <c r="Y10" s="19"/>
      <c r="Z10" s="19"/>
      <c r="AE10" s="9"/>
      <c r="AF10" s="9"/>
    </row>
    <row r="11" spans="1:32" x14ac:dyDescent="0.25">
      <c r="D11">
        <f>SQRT(B6^2-B8^2)</f>
        <v>0.1841195263952195</v>
      </c>
      <c r="E11">
        <v>0</v>
      </c>
      <c r="G11" s="18" t="s">
        <v>45</v>
      </c>
      <c r="H11" s="33">
        <f>D11*COS($I$8)-E11*SIN($I$8)+$N$6</f>
        <v>7.898736310708282E-2</v>
      </c>
      <c r="I11" s="33">
        <f>D11*SIN($I$8)+E11*COS($I$8)+$N$8</f>
        <v>0.33491414790866891</v>
      </c>
      <c r="V11" s="19"/>
      <c r="W11" s="19"/>
      <c r="X11" s="19"/>
      <c r="Y11" s="19"/>
      <c r="Z11" s="19"/>
      <c r="AE11" s="9"/>
      <c r="AF11" s="9"/>
    </row>
    <row r="12" spans="1:32" x14ac:dyDescent="0.25">
      <c r="A12" s="27" t="s">
        <v>46</v>
      </c>
      <c r="B12" s="28">
        <f>B10/B6</f>
        <v>0.31744745930210261</v>
      </c>
      <c r="G12" s="18"/>
      <c r="H12" s="18"/>
      <c r="I12" s="18"/>
      <c r="V12" s="19"/>
      <c r="W12" s="19"/>
      <c r="X12" s="19"/>
      <c r="Y12" s="19"/>
      <c r="Z12" s="19"/>
      <c r="AE12" s="9"/>
      <c r="AF12" s="9"/>
    </row>
    <row r="13" spans="1:32" x14ac:dyDescent="0.25">
      <c r="A13" s="27"/>
      <c r="B13" s="28"/>
      <c r="G13" s="18" t="s">
        <v>53</v>
      </c>
      <c r="H13" s="33">
        <f>N6</f>
        <v>0.20776511254056293</v>
      </c>
      <c r="I13" s="33">
        <f>N8</f>
        <v>0.20332276805859006</v>
      </c>
      <c r="V13" s="19"/>
      <c r="W13" s="19"/>
      <c r="X13" s="19"/>
      <c r="Y13" s="19"/>
      <c r="Z13" s="19"/>
      <c r="AE13" s="9"/>
      <c r="AF13" s="9"/>
    </row>
    <row r="14" spans="1:32" x14ac:dyDescent="0.25">
      <c r="A14" t="s">
        <v>51</v>
      </c>
      <c r="B14" s="25">
        <f>B6-B10</f>
        <v>0.39588047360478046</v>
      </c>
      <c r="AE14" s="9"/>
      <c r="AF14" s="9"/>
    </row>
    <row r="15" spans="1:32" x14ac:dyDescent="0.25">
      <c r="A15" t="s">
        <v>52</v>
      </c>
      <c r="B15" s="25">
        <f>B6+B10</f>
        <v>0.76411952639521941</v>
      </c>
      <c r="K15" t="s">
        <v>53</v>
      </c>
      <c r="AE15" s="9"/>
      <c r="AF15" s="9"/>
    </row>
    <row r="16" spans="1:32" x14ac:dyDescent="0.25">
      <c r="D16" s="26" t="s">
        <v>49</v>
      </c>
      <c r="E16" s="26" t="s">
        <v>50</v>
      </c>
      <c r="H16" s="29" t="s">
        <v>49</v>
      </c>
      <c r="I16" s="29" t="s">
        <v>50</v>
      </c>
      <c r="K16" t="s">
        <v>49</v>
      </c>
      <c r="L16" t="s">
        <v>50</v>
      </c>
      <c r="AE16" s="9"/>
      <c r="AF16" s="9"/>
    </row>
    <row r="17" spans="1:32" x14ac:dyDescent="0.25">
      <c r="A17">
        <v>0</v>
      </c>
      <c r="B17" s="9">
        <f>RADIANS(A17)</f>
        <v>0</v>
      </c>
      <c r="D17" s="13">
        <f>SIN(B17)*$B$6</f>
        <v>0</v>
      </c>
      <c r="E17" s="13">
        <f>COS(B17)*$B$8</f>
        <v>0.55000000000000004</v>
      </c>
      <c r="H17" s="13">
        <f>D17*COS($I$8)-E17*SIN($I$8)+$N$6</f>
        <v>-0.18532333567859646</v>
      </c>
      <c r="I17" s="13">
        <f>D17*SIN($I$8)+E17*COS($I$8)+$N$8</f>
        <v>-0.18136083163946476</v>
      </c>
      <c r="K17">
        <f>N6</f>
        <v>0.20776511254056293</v>
      </c>
      <c r="L17">
        <f>N8</f>
        <v>0.20332276805859006</v>
      </c>
      <c r="AE17" s="9"/>
      <c r="AF17" s="9"/>
    </row>
    <row r="18" spans="1:32" x14ac:dyDescent="0.25">
      <c r="A18">
        <v>1</v>
      </c>
      <c r="B18" s="9">
        <f>RADIANS(A18)</f>
        <v>1.7453292519943295E-2</v>
      </c>
      <c r="D18" s="13">
        <f t="shared" ref="D18:D20" si="0">SIN(B18)*$B$6</f>
        <v>1.0122395733624437E-2</v>
      </c>
      <c r="E18" s="13">
        <f t="shared" ref="E18:E20" si="1">COS(B18)*$B$8</f>
        <v>0.54991623233601528</v>
      </c>
      <c r="H18" s="13">
        <f>D18*COS($I$8)-E18*SIN($I$8)+$N$6</f>
        <v>-0.19234332027374582</v>
      </c>
      <c r="I18" s="13">
        <f t="shared" ref="I18:I20" si="2">D18*SIN($I$8)+E18*COS($I$8)+$N$8</f>
        <v>-0.1740677027709</v>
      </c>
      <c r="AE18" s="9"/>
      <c r="AF18" s="9"/>
    </row>
    <row r="19" spans="1:32" x14ac:dyDescent="0.25">
      <c r="A19">
        <v>2</v>
      </c>
      <c r="B19" s="9">
        <f t="shared" ref="B19:B21" si="3">RADIANS(A19)</f>
        <v>3.4906585039886591E-2</v>
      </c>
      <c r="D19" s="13">
        <f t="shared" si="0"/>
        <v>2.0241708087450561E-2</v>
      </c>
      <c r="E19" s="13">
        <f t="shared" si="1"/>
        <v>0.54966495486050271</v>
      </c>
      <c r="H19" s="13">
        <f t="shared" ref="H19:H21" si="4">D19*COS($I$8)-E19*SIN($I$8)+$N$6</f>
        <v>-0.19924142796432251</v>
      </c>
      <c r="I19" s="13">
        <f t="shared" si="2"/>
        <v>-0.16665961710905691</v>
      </c>
      <c r="AE19" s="9"/>
      <c r="AF19" s="9"/>
    </row>
    <row r="20" spans="1:32" x14ac:dyDescent="0.25">
      <c r="A20">
        <v>3</v>
      </c>
      <c r="B20" s="9">
        <f t="shared" si="3"/>
        <v>5.235987755982989E-2</v>
      </c>
      <c r="D20" s="13">
        <f t="shared" si="0"/>
        <v>3.0354854620907423E-2</v>
      </c>
      <c r="E20" s="13">
        <f t="shared" si="1"/>
        <v>0.54924624411501566</v>
      </c>
      <c r="H20" s="13">
        <f t="shared" si="4"/>
        <v>-0.20601555751990056</v>
      </c>
      <c r="I20" s="13">
        <f t="shared" si="2"/>
        <v>-0.15913883122859196</v>
      </c>
      <c r="AE20" s="9"/>
      <c r="AF20" s="9"/>
    </row>
    <row r="21" spans="1:32" x14ac:dyDescent="0.25">
      <c r="A21">
        <v>4</v>
      </c>
      <c r="B21" s="9">
        <f t="shared" si="3"/>
        <v>6.9813170079773182E-2</v>
      </c>
      <c r="D21" s="13">
        <f t="shared" ref="D21:D84" si="5">SIN(B21)*$B$6</f>
        <v>4.0458754771592671E-2</v>
      </c>
      <c r="E21" s="13">
        <f t="shared" ref="E21:E84" si="6">COS(B21)*$B$8</f>
        <v>0.54866022764290334</v>
      </c>
      <c r="H21" s="13">
        <f t="shared" si="4"/>
        <v>-0.21266364547499475</v>
      </c>
      <c r="I21" s="13">
        <f t="shared" ref="I21:I84" si="7">D21*SIN($I$8)+E21*COS($I$8)+$N$8</f>
        <v>-0.15150763603373973</v>
      </c>
      <c r="AE21" s="9"/>
      <c r="AF21" s="9"/>
    </row>
    <row r="22" spans="1:32" x14ac:dyDescent="0.25">
      <c r="A22">
        <v>5</v>
      </c>
      <c r="B22" s="9">
        <f t="shared" ref="B22:B85" si="8">RADIANS(A22)</f>
        <v>8.7266462599716474E-2</v>
      </c>
      <c r="D22" s="13">
        <f t="shared" si="5"/>
        <v>5.0550330793641733E-2</v>
      </c>
      <c r="E22" s="13">
        <f t="shared" si="6"/>
        <v>0.54790708395046006</v>
      </c>
      <c r="H22" s="13">
        <f t="shared" ref="H22:H85" si="9">D22*COS($I$8)-E22*SIN($I$8)+$N$6</f>
        <v>-0.21918366675761261</v>
      </c>
      <c r="I22" s="13">
        <f t="shared" si="7"/>
        <v>-0.14376835606048172</v>
      </c>
      <c r="AE22" s="9"/>
      <c r="AF22" s="9"/>
    </row>
    <row r="23" spans="1:32" x14ac:dyDescent="0.25">
      <c r="A23">
        <v>6</v>
      </c>
      <c r="B23" s="9">
        <f t="shared" si="8"/>
        <v>0.10471975511965978</v>
      </c>
      <c r="D23" s="13">
        <f t="shared" si="5"/>
        <v>6.0626508695239008E-2</v>
      </c>
      <c r="E23" s="13">
        <f t="shared" si="6"/>
        <v>0.54698704245255036</v>
      </c>
      <c r="H23" s="13">
        <f t="shared" si="9"/>
        <v>-0.22557363530611055</v>
      </c>
      <c r="I23" s="13">
        <f t="shared" si="7"/>
        <v>-0.13592334876846979</v>
      </c>
      <c r="AE23" s="9"/>
      <c r="AF23" s="9"/>
    </row>
    <row r="24" spans="1:32" x14ac:dyDescent="0.25">
      <c r="A24">
        <v>7</v>
      </c>
      <c r="B24" s="9">
        <f t="shared" si="8"/>
        <v>0.12217304763960307</v>
      </c>
      <c r="D24" s="13">
        <f t="shared" si="5"/>
        <v>7.0684219174985533E-2</v>
      </c>
      <c r="E24" s="13">
        <f t="shared" si="6"/>
        <v>0.54590038340272717</v>
      </c>
      <c r="H24" s="13">
        <f t="shared" si="9"/>
        <v>-0.23183160467416777</v>
      </c>
      <c r="I24" s="13">
        <f t="shared" si="7"/>
        <v>-0.12797500382292143</v>
      </c>
      <c r="AE24" s="9"/>
      <c r="AF24" s="9"/>
    </row>
    <row r="25" spans="1:32" x14ac:dyDescent="0.25">
      <c r="A25">
        <v>8</v>
      </c>
      <c r="B25" s="9">
        <f t="shared" si="8"/>
        <v>0.13962634015954636</v>
      </c>
      <c r="D25" s="13">
        <f t="shared" si="5"/>
        <v>8.072039855683795E-2</v>
      </c>
      <c r="E25" s="13">
        <f t="shared" si="6"/>
        <v>0.54464743780786373</v>
      </c>
      <c r="H25" s="13">
        <f t="shared" si="9"/>
        <v>-0.23795566862369225</v>
      </c>
      <c r="I25" s="13">
        <f t="shared" si="7"/>
        <v>-0.11992574236670439</v>
      </c>
    </row>
    <row r="26" spans="1:32" x14ac:dyDescent="0.25">
      <c r="A26">
        <v>9</v>
      </c>
      <c r="B26" s="9">
        <f t="shared" si="8"/>
        <v>0.15707963267948966</v>
      </c>
      <c r="D26" s="13">
        <f t="shared" si="5"/>
        <v>9.0731989723333892E-2</v>
      </c>
      <c r="E26" s="13">
        <f t="shared" si="6"/>
        <v>0.54322858732732582</v>
      </c>
      <c r="H26" s="13">
        <f t="shared" si="9"/>
        <v>-0.24394396170547997</v>
      </c>
      <c r="I26" s="13">
        <f t="shared" si="7"/>
        <v>-0.11177801628283313</v>
      </c>
    </row>
    <row r="27" spans="1:32" x14ac:dyDescent="0.25">
      <c r="A27">
        <v>10</v>
      </c>
      <c r="B27" s="9">
        <f t="shared" si="8"/>
        <v>0.17453292519943295</v>
      </c>
      <c r="D27" s="13">
        <f t="shared" si="5"/>
        <v>0.10071594304681958</v>
      </c>
      <c r="E27" s="13">
        <f t="shared" si="6"/>
        <v>0.54164426415671441</v>
      </c>
      <c r="H27" s="13">
        <f t="shared" si="9"/>
        <v>-0.24979465982744822</v>
      </c>
      <c r="I27" s="13">
        <f t="shared" si="7"/>
        <v>-0.10353430744760167</v>
      </c>
    </row>
    <row r="28" spans="1:32" x14ac:dyDescent="0.25">
      <c r="A28">
        <v>11</v>
      </c>
      <c r="B28" s="9">
        <f t="shared" si="8"/>
        <v>0.19198621771937624</v>
      </c>
      <c r="D28" s="13">
        <f t="shared" si="5"/>
        <v>0.11066921731839598</v>
      </c>
      <c r="E28" s="13">
        <f t="shared" si="6"/>
        <v>0.5398949508962152</v>
      </c>
      <c r="H28" s="13">
        <f t="shared" si="9"/>
        <v>-0.2555059808102722</v>
      </c>
      <c r="I28" s="13">
        <f t="shared" si="7"/>
        <v>-9.5197126974579771E-2</v>
      </c>
    </row>
    <row r="29" spans="1:32" x14ac:dyDescent="0.25">
      <c r="A29">
        <v>12</v>
      </c>
      <c r="B29" s="9">
        <f t="shared" si="8"/>
        <v>0.20943951023931956</v>
      </c>
      <c r="D29" s="13">
        <f t="shared" si="5"/>
        <v>0.12058878067430041</v>
      </c>
      <c r="E29" s="13">
        <f t="shared" si="6"/>
        <v>0.53798118040359322</v>
      </c>
      <c r="H29" s="13">
        <f t="shared" si="9"/>
        <v>-0.26107618493025375</v>
      </c>
      <c r="I29" s="13">
        <f t="shared" si="7"/>
        <v>-8.6769014449703641E-2</v>
      </c>
    </row>
    <row r="30" spans="1:32" x14ac:dyDescent="0.25">
      <c r="A30">
        <v>13</v>
      </c>
      <c r="B30" s="9">
        <f t="shared" si="8"/>
        <v>0.22689280275926285</v>
      </c>
      <c r="D30" s="13">
        <f t="shared" si="5"/>
        <v>0.1304716115194417</v>
      </c>
      <c r="E30" s="13">
        <f t="shared" si="6"/>
        <v>0.53590353563187942</v>
      </c>
      <c r="H30" s="13">
        <f t="shared" si="9"/>
        <v>-0.26650357544925796</v>
      </c>
      <c r="I30" s="13">
        <f t="shared" si="7"/>
        <v>-7.8252537157693258E-2</v>
      </c>
    </row>
    <row r="31" spans="1:32" x14ac:dyDescent="0.25">
      <c r="A31">
        <v>14</v>
      </c>
      <c r="B31" s="9">
        <f t="shared" si="8"/>
        <v>0.24434609527920614</v>
      </c>
      <c r="D31" s="13">
        <f t="shared" si="5"/>
        <v>0.14031469944780728</v>
      </c>
      <c r="E31" s="13">
        <f t="shared" si="6"/>
        <v>0.53366264945179809</v>
      </c>
      <c r="H31" s="13">
        <f t="shared" si="9"/>
        <v>-0.2717864991315565</v>
      </c>
      <c r="I31" s="13">
        <f t="shared" si="7"/>
        <v>-6.9650289300032753E-2</v>
      </c>
    </row>
    <row r="32" spans="1:32" x14ac:dyDescent="0.25">
      <c r="A32">
        <v>15</v>
      </c>
      <c r="B32" s="9">
        <f t="shared" si="8"/>
        <v>0.26179938779914941</v>
      </c>
      <c r="D32" s="13">
        <f t="shared" si="5"/>
        <v>0.15011504615946203</v>
      </c>
      <c r="E32" s="13">
        <f t="shared" si="6"/>
        <v>0.53125920445898767</v>
      </c>
      <c r="H32" s="13">
        <f t="shared" si="9"/>
        <v>-0.27692334674741903</v>
      </c>
      <c r="I32" s="13">
        <f t="shared" si="7"/>
        <v>-6.0964891204751459E-2</v>
      </c>
    </row>
    <row r="33" spans="1:9" x14ac:dyDescent="0.25">
      <c r="A33">
        <v>16</v>
      </c>
      <c r="B33" s="9">
        <f t="shared" si="8"/>
        <v>0.27925268031909273</v>
      </c>
      <c r="D33" s="13">
        <f t="shared" si="5"/>
        <v>0.15986966637385949</v>
      </c>
      <c r="E33" s="13">
        <f t="shared" si="6"/>
        <v>0.52869393276607546</v>
      </c>
      <c r="H33" s="13">
        <f t="shared" si="9"/>
        <v>-0.28191255356329981</v>
      </c>
      <c r="I33" s="13">
        <f t="shared" si="7"/>
        <v>-5.2198988528246559E-2</v>
      </c>
    </row>
    <row r="34" spans="1:9" x14ac:dyDescent="0.25">
      <c r="A34">
        <v>17</v>
      </c>
      <c r="B34" s="9">
        <f t="shared" si="8"/>
        <v>0.29670597283903605</v>
      </c>
      <c r="D34" s="13">
        <f t="shared" si="5"/>
        <v>0.16957558873918732</v>
      </c>
      <c r="E34" s="13">
        <f t="shared" si="6"/>
        <v>0.52596761577966955</v>
      </c>
      <c r="H34" s="13">
        <f t="shared" si="9"/>
        <v>-0.28675259981847134</v>
      </c>
      <c r="I34" s="13">
        <f t="shared" si="7"/>
        <v>-4.3355251449390286E-2</v>
      </c>
    </row>
    <row r="35" spans="1:9" x14ac:dyDescent="0.25">
      <c r="A35">
        <v>18</v>
      </c>
      <c r="B35" s="9">
        <f t="shared" si="8"/>
        <v>0.31415926535897931</v>
      </c>
      <c r="D35" s="13">
        <f t="shared" si="5"/>
        <v>0.17922985673746947</v>
      </c>
      <c r="E35" s="13">
        <f t="shared" si="6"/>
        <v>0.52308108396233444</v>
      </c>
      <c r="H35" s="13">
        <f t="shared" si="9"/>
        <v>-0.29144201118795754</v>
      </c>
      <c r="I35" s="13">
        <f t="shared" si="7"/>
        <v>-3.4436373856168406E-2</v>
      </c>
    </row>
    <row r="36" spans="1:9" x14ac:dyDescent="0.25">
      <c r="A36">
        <v>19</v>
      </c>
      <c r="B36" s="9">
        <f t="shared" si="8"/>
        <v>0.33161255787892263</v>
      </c>
      <c r="D36" s="13">
        <f t="shared" si="5"/>
        <v>0.18882952958515087</v>
      </c>
      <c r="E36" s="13">
        <f t="shared" si="6"/>
        <v>0.52003521657962426</v>
      </c>
      <c r="H36" s="13">
        <f t="shared" si="9"/>
        <v>-0.2959793592316281</v>
      </c>
      <c r="I36" s="13">
        <f t="shared" si="7"/>
        <v>-2.5445072525094703E-2</v>
      </c>
    </row>
    <row r="37" spans="1:9" x14ac:dyDescent="0.25">
      <c r="A37">
        <v>20</v>
      </c>
      <c r="B37" s="9">
        <f t="shared" si="8"/>
        <v>0.3490658503988659</v>
      </c>
      <c r="D37" s="13">
        <f t="shared" si="5"/>
        <v>0.19837168312888784</v>
      </c>
      <c r="E37" s="13">
        <f t="shared" si="6"/>
        <v>0.51683094143224972</v>
      </c>
      <c r="H37" s="13">
        <f t="shared" si="9"/>
        <v>-0.30036326182931472</v>
      </c>
      <c r="I37" s="13">
        <f t="shared" si="7"/>
        <v>-1.6384086293655453E-2</v>
      </c>
    </row>
    <row r="38" spans="1:9" x14ac:dyDescent="0.25">
      <c r="A38">
        <v>21</v>
      </c>
      <c r="B38" s="9">
        <f t="shared" si="8"/>
        <v>0.36651914291880922</v>
      </c>
      <c r="D38" s="13">
        <f t="shared" si="5"/>
        <v>0.20785341073627414</v>
      </c>
      <c r="E38" s="13">
        <f t="shared" si="6"/>
        <v>0.51346923457346105</v>
      </c>
      <c r="H38" s="13">
        <f t="shared" si="9"/>
        <v>-0.30459238360181817</v>
      </c>
      <c r="I38" s="13">
        <f t="shared" si="7"/>
        <v>-7.2561752260323631E-3</v>
      </c>
    </row>
    <row r="39" spans="1:9" x14ac:dyDescent="0.25">
      <c r="A39">
        <v>22</v>
      </c>
      <c r="B39" s="9">
        <f t="shared" si="8"/>
        <v>0.38397243543875248</v>
      </c>
      <c r="D39" s="13">
        <f t="shared" si="5"/>
        <v>0.21727182418122895</v>
      </c>
      <c r="E39" s="13">
        <f t="shared" si="6"/>
        <v>0.50995112001173315</v>
      </c>
      <c r="H39" s="13">
        <f t="shared" si="9"/>
        <v>-0.30866543631767795</v>
      </c>
      <c r="I39" s="13">
        <f t="shared" si="7"/>
        <v>1.9358802276392695E-3</v>
      </c>
    </row>
    <row r="40" spans="1:9" x14ac:dyDescent="0.25">
      <c r="A40">
        <v>23</v>
      </c>
      <c r="B40" s="9">
        <f t="shared" si="8"/>
        <v>0.4014257279586958</v>
      </c>
      <c r="D40" s="13">
        <f t="shared" si="5"/>
        <v>0.22662405452377876</v>
      </c>
      <c r="E40" s="13">
        <f t="shared" si="6"/>
        <v>0.50627766939884222</v>
      </c>
      <c r="H40" s="13">
        <f t="shared" si="9"/>
        <v>-0.31258117928558049</v>
      </c>
      <c r="I40" s="13">
        <f t="shared" si="7"/>
        <v>1.1189280078222757E-2</v>
      </c>
    </row>
    <row r="41" spans="1:9" x14ac:dyDescent="0.25">
      <c r="A41">
        <v>24</v>
      </c>
      <c r="B41" s="9">
        <f t="shared" si="8"/>
        <v>0.41887902047863912</v>
      </c>
      <c r="D41" s="13">
        <f t="shared" si="5"/>
        <v>0.23590725298396412</v>
      </c>
      <c r="E41" s="13">
        <f t="shared" si="6"/>
        <v>0.50245000170343057</v>
      </c>
      <c r="H41" s="13">
        <f t="shared" si="9"/>
        <v>-0.31633841973228527</v>
      </c>
      <c r="I41" s="13">
        <f t="shared" si="7"/>
        <v>2.0501205650483995E-2</v>
      </c>
    </row>
    <row r="42" spans="1:9" x14ac:dyDescent="0.25">
      <c r="A42">
        <v>25</v>
      </c>
      <c r="B42" s="9">
        <f t="shared" si="8"/>
        <v>0.43633231299858238</v>
      </c>
      <c r="D42" s="13">
        <f t="shared" si="5"/>
        <v>0.24511859180960566</v>
      </c>
      <c r="E42" s="13">
        <f t="shared" si="6"/>
        <v>0.49846928287015752</v>
      </c>
      <c r="H42" s="13">
        <f t="shared" si="9"/>
        <v>-0.31993601316595455</v>
      </c>
      <c r="I42" s="13">
        <f t="shared" si="7"/>
        <v>2.9868820441686983E-2</v>
      </c>
    </row>
    <row r="43" spans="1:9" x14ac:dyDescent="0.25">
      <c r="A43">
        <v>26</v>
      </c>
      <c r="B43" s="9">
        <f t="shared" si="8"/>
        <v>0.4537856055185257</v>
      </c>
      <c r="D43" s="13">
        <f t="shared" si="5"/>
        <v>0.25425526513766489</v>
      </c>
      <c r="E43" s="13">
        <f t="shared" si="6"/>
        <v>0.49433672546454194</v>
      </c>
      <c r="H43" s="13">
        <f t="shared" si="9"/>
        <v>-0.32337286372477825</v>
      </c>
      <c r="I43" s="13">
        <f t="shared" si="7"/>
        <v>3.9289270985620156E-2</v>
      </c>
    </row>
    <row r="44" spans="1:9" x14ac:dyDescent="0.25">
      <c r="A44">
        <v>27</v>
      </c>
      <c r="B44" s="9">
        <f t="shared" si="8"/>
        <v>0.47123889803846897</v>
      </c>
      <c r="D44" s="13">
        <f t="shared" si="5"/>
        <v>0.26331448984893707</v>
      </c>
      <c r="E44" s="13">
        <f t="shared" si="6"/>
        <v>0.49005358830360241</v>
      </c>
      <c r="H44" s="13">
        <f t="shared" si="9"/>
        <v>-0.32664792451078228</v>
      </c>
      <c r="I44" s="13">
        <f t="shared" si="7"/>
        <v>4.8759687721789902E-2</v>
      </c>
    </row>
    <row r="45" spans="1:9" x14ac:dyDescent="0.25">
      <c r="A45">
        <v>28</v>
      </c>
      <c r="B45" s="9">
        <f t="shared" si="8"/>
        <v>0.48869219055841229</v>
      </c>
      <c r="D45" s="13">
        <f t="shared" si="5"/>
        <v>0.27229350641581662</v>
      </c>
      <c r="E45" s="13">
        <f t="shared" si="6"/>
        <v>0.4856211760724099</v>
      </c>
      <c r="H45" s="13">
        <f t="shared" si="9"/>
        <v>-0.32976019790872524</v>
      </c>
      <c r="I45" s="13">
        <f t="shared" si="7"/>
        <v>5.8277185869516496E-2</v>
      </c>
    </row>
    <row r="46" spans="1:9" x14ac:dyDescent="0.25">
      <c r="A46">
        <v>29</v>
      </c>
      <c r="B46" s="9">
        <f t="shared" si="8"/>
        <v>0.50614548307835561</v>
      </c>
      <c r="D46" s="13">
        <f t="shared" si="5"/>
        <v>0.28118957974287545</v>
      </c>
      <c r="E46" s="13">
        <f t="shared" si="6"/>
        <v>0.48104083892666771</v>
      </c>
      <c r="H46" s="13">
        <f t="shared" si="9"/>
        <v>-0.33270873588998062</v>
      </c>
      <c r="I46" s="13">
        <f t="shared" si="7"/>
        <v>6.7838866306666024E-2</v>
      </c>
    </row>
    <row r="47" spans="1:9" x14ac:dyDescent="0.25">
      <c r="A47">
        <v>30</v>
      </c>
      <c r="B47" s="9">
        <f t="shared" si="8"/>
        <v>0.52359877559829882</v>
      </c>
      <c r="D47" s="13">
        <f t="shared" si="5"/>
        <v>0.28999999999999992</v>
      </c>
      <c r="E47" s="13">
        <f t="shared" si="6"/>
        <v>0.47631397208144133</v>
      </c>
      <c r="H47" s="13">
        <f t="shared" si="9"/>
        <v>-0.33549264030131642</v>
      </c>
      <c r="I47" s="13">
        <f t="shared" si="7"/>
        <v>7.7441816452751056E-2</v>
      </c>
    </row>
    <row r="48" spans="1:9" x14ac:dyDescent="0.25">
      <c r="A48">
        <v>31</v>
      </c>
      <c r="B48" s="9">
        <f t="shared" si="8"/>
        <v>0.54105206811824214</v>
      </c>
      <c r="D48" s="13">
        <f t="shared" si="5"/>
        <v>0.29872208344783141</v>
      </c>
      <c r="E48" s="13">
        <f t="shared" si="6"/>
        <v>0.47144201538616182</v>
      </c>
      <c r="H48" s="13">
        <f t="shared" si="9"/>
        <v>-0.33811106313848049</v>
      </c>
      <c r="I48" s="13">
        <f t="shared" si="7"/>
        <v>8.7083111156131571E-2</v>
      </c>
    </row>
    <row r="49" spans="1:9" x14ac:dyDescent="0.25">
      <c r="A49">
        <v>32</v>
      </c>
      <c r="B49" s="9">
        <f t="shared" si="8"/>
        <v>0.55850536063818546</v>
      </c>
      <c r="D49" s="13">
        <f t="shared" si="5"/>
        <v>0.30735317325525879</v>
      </c>
      <c r="E49" s="13">
        <f t="shared" si="6"/>
        <v>0.46642645288603429</v>
      </c>
      <c r="H49" s="13">
        <f t="shared" si="9"/>
        <v>-0.34056320680451146</v>
      </c>
      <c r="I49" s="13">
        <f t="shared" si="7"/>
        <v>9.6759813585043319E-2</v>
      </c>
    </row>
    <row r="50" spans="1:9" x14ac:dyDescent="0.25">
      <c r="A50">
        <v>33</v>
      </c>
      <c r="B50" s="9">
        <f t="shared" si="8"/>
        <v>0.57595865315812877</v>
      </c>
      <c r="D50" s="13">
        <f t="shared" si="5"/>
        <v>0.31589064030871566</v>
      </c>
      <c r="E50" s="13">
        <f t="shared" si="6"/>
        <v>0.46126881236998324</v>
      </c>
      <c r="H50" s="13">
        <f t="shared" si="9"/>
        <v>-0.3428483243526943</v>
      </c>
      <c r="I50" s="13">
        <f t="shared" si="7"/>
        <v>0.10646897612218623</v>
      </c>
    </row>
    <row r="51" spans="1:9" x14ac:dyDescent="0.25">
      <c r="A51">
        <v>34</v>
      </c>
      <c r="B51" s="9">
        <f t="shared" si="8"/>
        <v>0.59341194567807209</v>
      </c>
      <c r="D51" s="13">
        <f t="shared" si="5"/>
        <v>0.3243318840130332</v>
      </c>
      <c r="E51" s="13">
        <f t="shared" si="6"/>
        <v>0.45597066490527294</v>
      </c>
      <c r="H51" s="13">
        <f t="shared" si="9"/>
        <v>-0.34496571971408729</v>
      </c>
      <c r="I51" s="13">
        <f t="shared" si="7"/>
        <v>0.11620764126259678</v>
      </c>
    </row>
    <row r="52" spans="1:9" x14ac:dyDescent="0.25">
      <c r="A52">
        <v>35</v>
      </c>
      <c r="B52" s="9">
        <f t="shared" si="8"/>
        <v>0.6108652381980153</v>
      </c>
      <c r="D52" s="13">
        <f t="shared" si="5"/>
        <v>0.33267433308360667</v>
      </c>
      <c r="E52" s="13">
        <f t="shared" si="6"/>
        <v>0.45053362435894551</v>
      </c>
      <c r="H52" s="13">
        <f t="shared" si="9"/>
        <v>-0.34691474790955168</v>
      </c>
      <c r="I52" s="13">
        <f t="shared" si="7"/>
        <v>0.12597284251453245</v>
      </c>
    </row>
    <row r="53" spans="1:9" x14ac:dyDescent="0.25">
      <c r="A53">
        <v>36</v>
      </c>
      <c r="B53" s="9">
        <f t="shared" si="8"/>
        <v>0.62831853071795862</v>
      </c>
      <c r="D53" s="13">
        <f t="shared" si="5"/>
        <v>0.34091544632963439</v>
      </c>
      <c r="E53" s="13">
        <f t="shared" si="6"/>
        <v>0.44495934690622113</v>
      </c>
      <c r="H53" s="13">
        <f t="shared" si="9"/>
        <v>-0.34869481524621848</v>
      </c>
      <c r="I53" s="13">
        <f t="shared" si="7"/>
        <v>0.13576160530309447</v>
      </c>
    </row>
    <row r="54" spans="1:9" x14ac:dyDescent="0.25">
      <c r="A54">
        <v>37</v>
      </c>
      <c r="B54" s="9">
        <f t="shared" si="8"/>
        <v>0.64577182323790194</v>
      </c>
      <c r="D54" s="13">
        <f t="shared" si="5"/>
        <v>0.34905271342818794</v>
      </c>
      <c r="E54" s="13">
        <f t="shared" si="6"/>
        <v>0.43924953052601107</v>
      </c>
      <c r="H54" s="13">
        <f t="shared" si="9"/>
        <v>-0.35030537949833318</v>
      </c>
      <c r="I54" s="13">
        <f t="shared" si="7"/>
        <v>0.1455709478763115</v>
      </c>
    </row>
    <row r="55" spans="1:9" x14ac:dyDescent="0.25">
      <c r="A55">
        <v>38</v>
      </c>
      <c r="B55" s="9">
        <f t="shared" si="8"/>
        <v>0.66322511575784526</v>
      </c>
      <c r="D55" s="13">
        <f t="shared" si="5"/>
        <v>0.35708365568888178</v>
      </c>
      <c r="E55" s="13">
        <f t="shared" si="6"/>
        <v>0.43340591448369709</v>
      </c>
      <c r="H55" s="13">
        <f t="shared" si="9"/>
        <v>-0.35174595007242249</v>
      </c>
      <c r="I55" s="13">
        <f t="shared" si="7"/>
        <v>0.1553978822134105</v>
      </c>
    </row>
    <row r="56" spans="1:9" x14ac:dyDescent="0.25">
      <c r="A56">
        <v>39</v>
      </c>
      <c r="B56" s="9">
        <f t="shared" si="8"/>
        <v>0.68067840827778847</v>
      </c>
      <c r="D56" s="13">
        <f t="shared" si="5"/>
        <v>0.36500582680890564</v>
      </c>
      <c r="E56" s="13">
        <f t="shared" si="6"/>
        <v>0.42743027880133405</v>
      </c>
      <c r="H56" s="13">
        <f t="shared" si="9"/>
        <v>-0.35301608815673458</v>
      </c>
      <c r="I56" s="13">
        <f t="shared" si="7"/>
        <v>0.16523941493499661</v>
      </c>
    </row>
    <row r="57" spans="1:9" x14ac:dyDescent="0.25">
      <c r="A57">
        <v>40</v>
      </c>
      <c r="B57" s="9">
        <f t="shared" si="8"/>
        <v>0.69813170079773179</v>
      </c>
      <c r="D57" s="13">
        <f t="shared" si="5"/>
        <v>0.37281681361819274</v>
      </c>
      <c r="E57" s="13">
        <f t="shared" si="6"/>
        <v>0.42132444371543792</v>
      </c>
      <c r="H57" s="13">
        <f t="shared" si="9"/>
        <v>-0.35411540685490472</v>
      </c>
      <c r="I57" s="13">
        <f t="shared" si="7"/>
        <v>0.17509254821486603</v>
      </c>
    </row>
    <row r="58" spans="1:9" x14ac:dyDescent="0.25">
      <c r="A58">
        <v>41</v>
      </c>
      <c r="B58" s="9">
        <f t="shared" si="8"/>
        <v>0.71558499331767511</v>
      </c>
      <c r="D58" s="13">
        <f t="shared" si="5"/>
        <v>0.3805142368144942</v>
      </c>
      <c r="E58" s="13">
        <f t="shared" si="6"/>
        <v>0.41509026912252467</v>
      </c>
      <c r="H58" s="13">
        <f t="shared" si="9"/>
        <v>-0.35504357130380826</v>
      </c>
      <c r="I58" s="13">
        <f t="shared" si="7"/>
        <v>0.1849542806931721</v>
      </c>
    </row>
    <row r="59" spans="1:9" x14ac:dyDescent="0.25">
      <c r="A59">
        <v>42</v>
      </c>
      <c r="B59" s="9">
        <f t="shared" si="8"/>
        <v>0.73303828583761843</v>
      </c>
      <c r="D59" s="13">
        <f t="shared" si="5"/>
        <v>0.38809575168813776</v>
      </c>
      <c r="E59" s="13">
        <f t="shared" si="6"/>
        <v>0.40872965401256689</v>
      </c>
      <c r="H59" s="13">
        <f t="shared" si="9"/>
        <v>-0.35580029877556263</v>
      </c>
      <c r="I59" s="13">
        <f t="shared" si="7"/>
        <v>0.1948216083906692</v>
      </c>
    </row>
    <row r="60" spans="1:9" x14ac:dyDescent="0.25">
      <c r="A60">
        <v>43</v>
      </c>
      <c r="B60" s="9">
        <f t="shared" si="8"/>
        <v>0.75049157835756175</v>
      </c>
      <c r="D60" s="13">
        <f t="shared" si="5"/>
        <v>0.39555904883624909</v>
      </c>
      <c r="E60" s="13">
        <f t="shared" si="6"/>
        <v>0.40224453589054376</v>
      </c>
      <c r="H60" s="13">
        <f t="shared" si="9"/>
        <v>-0.3563853587636493</v>
      </c>
      <c r="I60" s="13">
        <f t="shared" si="7"/>
        <v>0.20469152562375376</v>
      </c>
    </row>
    <row r="61" spans="1:9" x14ac:dyDescent="0.25">
      <c r="A61">
        <v>44</v>
      </c>
      <c r="B61" s="9">
        <f t="shared" si="8"/>
        <v>0.76794487087750496</v>
      </c>
      <c r="D61" s="13">
        <f t="shared" si="5"/>
        <v>0.40290185486621838</v>
      </c>
      <c r="E61" s="13">
        <f t="shared" si="6"/>
        <v>0.39563689018625819</v>
      </c>
      <c r="H61" s="13">
        <f t="shared" si="9"/>
        <v>-0.35679857305312856</v>
      </c>
      <c r="I61" s="13">
        <f t="shared" si="7"/>
        <v>0.21456102592002446</v>
      </c>
    </row>
    <row r="62" spans="1:9" x14ac:dyDescent="0.25">
      <c r="A62">
        <v>45</v>
      </c>
      <c r="B62" s="9">
        <f t="shared" si="8"/>
        <v>0.78539816339744828</v>
      </c>
      <c r="D62" s="13">
        <f t="shared" si="5"/>
        <v>0.4101219330881975</v>
      </c>
      <c r="E62" s="13">
        <f t="shared" si="6"/>
        <v>0.3889087296526012</v>
      </c>
      <c r="H62" s="13">
        <f t="shared" si="9"/>
        <v>-0.35703981577492461</v>
      </c>
      <c r="I62" s="13">
        <f t="shared" si="7"/>
        <v>0.22442710293408319</v>
      </c>
    </row>
    <row r="63" spans="1:9" x14ac:dyDescent="0.25">
      <c r="A63">
        <v>46</v>
      </c>
      <c r="B63" s="9">
        <f t="shared" si="8"/>
        <v>0.8028514559173916</v>
      </c>
      <c r="D63" s="13">
        <f t="shared" si="5"/>
        <v>0.41721708419641762</v>
      </c>
      <c r="E63" s="13">
        <f t="shared" si="6"/>
        <v>0.38206210375244853</v>
      </c>
      <c r="H63" s="13">
        <f t="shared" si="9"/>
        <v>-0.35710901344416757</v>
      </c>
      <c r="I63" s="13">
        <f t="shared" si="7"/>
        <v>0.23428675136329652</v>
      </c>
    </row>
    <row r="64" spans="1:9" x14ac:dyDescent="0.25">
      <c r="A64">
        <v>47</v>
      </c>
      <c r="B64" s="9">
        <f t="shared" si="8"/>
        <v>0.82030474843733492</v>
      </c>
      <c r="D64" s="13">
        <f t="shared" si="5"/>
        <v>0.42418514693911885</v>
      </c>
      <c r="E64" s="13">
        <f t="shared" si="6"/>
        <v>0.37509909803437419</v>
      </c>
      <c r="H64" s="13">
        <f t="shared" si="9"/>
        <v>-0.3570061449825771</v>
      </c>
      <c r="I64" s="13">
        <f t="shared" si="7"/>
        <v>0.24413696786324041</v>
      </c>
    </row>
    <row r="65" spans="1:9" x14ac:dyDescent="0.25">
      <c r="A65">
        <v>48</v>
      </c>
      <c r="B65" s="9">
        <f t="shared" si="8"/>
        <v>0.83775804095727824</v>
      </c>
      <c r="D65" s="13">
        <f t="shared" si="5"/>
        <v>0.43102399877688863</v>
      </c>
      <c r="E65" s="13">
        <f t="shared" si="6"/>
        <v>0.36802183349737205</v>
      </c>
      <c r="H65" s="13">
        <f t="shared" si="9"/>
        <v>-0.35673124172488302</v>
      </c>
      <c r="I65" s="13">
        <f t="shared" si="7"/>
        <v>0.25397475196254776</v>
      </c>
    </row>
    <row r="66" spans="1:9" x14ac:dyDescent="0.25">
      <c r="A66">
        <v>49</v>
      </c>
      <c r="B66" s="9">
        <f t="shared" si="8"/>
        <v>0.85521133347722145</v>
      </c>
      <c r="D66" s="13">
        <f t="shared" si="5"/>
        <v>0.43773155652920775</v>
      </c>
      <c r="E66" s="13">
        <f t="shared" si="6"/>
        <v>0.36083246594477902</v>
      </c>
      <c r="H66" s="13">
        <f t="shared" si="9"/>
        <v>-0.35628438740928081</v>
      </c>
      <c r="I66" s="13">
        <f t="shared" si="7"/>
        <v>0.26379710697688125</v>
      </c>
    </row>
    <row r="67" spans="1:9" x14ac:dyDescent="0.25">
      <c r="A67">
        <v>50</v>
      </c>
      <c r="B67" s="9">
        <f t="shared" si="8"/>
        <v>0.87266462599716477</v>
      </c>
      <c r="D67" s="13">
        <f t="shared" si="5"/>
        <v>0.4443057770090072</v>
      </c>
      <c r="E67" s="13">
        <f t="shared" si="6"/>
        <v>0.3535331853275967</v>
      </c>
      <c r="H67" s="13">
        <f t="shared" si="9"/>
        <v>-0.35566571815192349</v>
      </c>
      <c r="I67" s="13">
        <f t="shared" si="7"/>
        <v>0.27360104092175197</v>
      </c>
    </row>
    <row r="68" spans="1:9" x14ac:dyDescent="0.25">
      <c r="A68">
        <v>51</v>
      </c>
      <c r="B68" s="9">
        <f t="shared" si="8"/>
        <v>0.89011791851710809</v>
      </c>
      <c r="D68" s="13">
        <f t="shared" si="5"/>
        <v>0.45074465764504307</v>
      </c>
      <c r="E68" s="13">
        <f t="shared" si="6"/>
        <v>0.34612621507741065</v>
      </c>
      <c r="H68" s="13">
        <f t="shared" si="9"/>
        <v>-0.35487542240546044</v>
      </c>
      <c r="I68" s="13">
        <f t="shared" si="7"/>
        <v>0.2833835674239078</v>
      </c>
    </row>
    <row r="69" spans="1:9" x14ac:dyDescent="0.25">
      <c r="A69">
        <v>52</v>
      </c>
      <c r="B69" s="9">
        <f t="shared" si="8"/>
        <v>0.90757121103705141</v>
      </c>
      <c r="D69" s="13">
        <f t="shared" si="5"/>
        <v>0.45704623709189873</v>
      </c>
      <c r="E69" s="13">
        <f t="shared" si="6"/>
        <v>0.33861381142911207</v>
      </c>
      <c r="H69" s="13">
        <f t="shared" si="9"/>
        <v>-0.35391374090163141</v>
      </c>
      <c r="I69" s="13">
        <f t="shared" si="7"/>
        <v>0.29314170663101058</v>
      </c>
    </row>
    <row r="70" spans="1:9" x14ac:dyDescent="0.25">
      <c r="A70">
        <v>53</v>
      </c>
      <c r="B70" s="9">
        <f t="shared" si="8"/>
        <v>0.92502450355699462</v>
      </c>
      <c r="D70" s="13">
        <f t="shared" si="5"/>
        <v>0.46320859582742979</v>
      </c>
      <c r="E70" s="13">
        <f t="shared" si="6"/>
        <v>0.33099826273362665</v>
      </c>
      <c r="H70" s="13">
        <f t="shared" si="9"/>
        <v>-0.35278096657793878</v>
      </c>
      <c r="I70" s="13">
        <f t="shared" si="7"/>
        <v>0.30287248611932849</v>
      </c>
    </row>
    <row r="71" spans="1:9" x14ac:dyDescent="0.25">
      <c r="A71">
        <v>54</v>
      </c>
      <c r="B71" s="9">
        <f t="shared" si="8"/>
        <v>0.94247779607693793</v>
      </c>
      <c r="D71" s="13">
        <f t="shared" si="5"/>
        <v>0.46922985673746948</v>
      </c>
      <c r="E71" s="13">
        <f t="shared" si="6"/>
        <v>0.32328188876086023</v>
      </c>
      <c r="H71" s="13">
        <f t="shared" si="9"/>
        <v>-0.35147744448841478</v>
      </c>
      <c r="I71" s="13">
        <f t="shared" si="7"/>
        <v>0.3125729417991655</v>
      </c>
    </row>
    <row r="72" spans="1:9" x14ac:dyDescent="0.25">
      <c r="A72">
        <v>55</v>
      </c>
      <c r="B72" s="9">
        <f t="shared" si="8"/>
        <v>0.95993108859688125</v>
      </c>
      <c r="D72" s="13">
        <f t="shared" si="5"/>
        <v>0.4751081856876152</v>
      </c>
      <c r="E72" s="13">
        <f t="shared" si="6"/>
        <v>0.3154670399930754</v>
      </c>
      <c r="H72" s="13">
        <f t="shared" si="9"/>
        <v>-0.35000357169851548</v>
      </c>
      <c r="I72" s="13">
        <f t="shared" si="7"/>
        <v>0.32224011881775083</v>
      </c>
    </row>
    <row r="73" spans="1:9" x14ac:dyDescent="0.25">
      <c r="A73">
        <v>56</v>
      </c>
      <c r="B73" s="9">
        <f t="shared" si="8"/>
        <v>0.97738438111682457</v>
      </c>
      <c r="D73" s="13">
        <f t="shared" si="5"/>
        <v>0.48084179208192418</v>
      </c>
      <c r="E73" s="13">
        <f t="shared" si="6"/>
        <v>0.30755609690891078</v>
      </c>
      <c r="H73" s="13">
        <f t="shared" si="9"/>
        <v>-0.34835979716417043</v>
      </c>
      <c r="I73" s="13">
        <f t="shared" si="7"/>
        <v>0.33187107245931668</v>
      </c>
    </row>
    <row r="74" spans="1:9" x14ac:dyDescent="0.25">
      <c r="A74">
        <v>57</v>
      </c>
      <c r="B74" s="9">
        <f t="shared" si="8"/>
        <v>0.99483767363676789</v>
      </c>
      <c r="D74" s="13">
        <f t="shared" si="5"/>
        <v>0.48642892940834592</v>
      </c>
      <c r="E74" s="13">
        <f t="shared" si="6"/>
        <v>0.29955146925826492</v>
      </c>
      <c r="H74" s="13">
        <f t="shared" si="9"/>
        <v>-0.34654662159502625</v>
      </c>
      <c r="I74" s="13">
        <f t="shared" si="7"/>
        <v>0.34146286904208673</v>
      </c>
    </row>
    <row r="75" spans="1:9" x14ac:dyDescent="0.25">
      <c r="A75">
        <v>58</v>
      </c>
      <c r="B75" s="9">
        <f t="shared" si="8"/>
        <v>1.0122909661567112</v>
      </c>
      <c r="D75" s="13">
        <f t="shared" si="5"/>
        <v>0.49186789577072704</v>
      </c>
      <c r="E75" s="13">
        <f t="shared" si="6"/>
        <v>0.29145559532826271</v>
      </c>
      <c r="H75" s="13">
        <f t="shared" si="9"/>
        <v>-0.34456459730192612</v>
      </c>
      <c r="I75" s="13">
        <f t="shared" si="7"/>
        <v>0.35101258681190395</v>
      </c>
    </row>
    <row r="76" spans="1:9" x14ac:dyDescent="0.25">
      <c r="A76">
        <v>59</v>
      </c>
      <c r="B76" s="9">
        <f t="shared" si="8"/>
        <v>1.0297442586766545</v>
      </c>
      <c r="D76" s="13">
        <f t="shared" si="5"/>
        <v>0.49715703440722514</v>
      </c>
      <c r="E76" s="13">
        <f t="shared" si="6"/>
        <v>0.28327094120052981</v>
      </c>
      <c r="H76" s="13">
        <f t="shared" si="9"/>
        <v>-0.34241432802866989</v>
      </c>
      <c r="I76" s="13">
        <f t="shared" si="7"/>
        <v>0.36051731683222554</v>
      </c>
    </row>
    <row r="77" spans="1:9" x14ac:dyDescent="0.25">
      <c r="A77">
        <v>60</v>
      </c>
      <c r="B77" s="9">
        <f t="shared" si="8"/>
        <v>1.0471975511965976</v>
      </c>
      <c r="D77" s="13">
        <f t="shared" si="5"/>
        <v>0.50229473419497439</v>
      </c>
      <c r="E77" s="13">
        <f t="shared" si="6"/>
        <v>0.27500000000000008</v>
      </c>
      <c r="H77" s="13">
        <f t="shared" si="9"/>
        <v>-0.3400964687681084</v>
      </c>
      <c r="I77" s="13">
        <f t="shared" si="7"/>
        <v>0.36997416387021276</v>
      </c>
    </row>
    <row r="78" spans="1:9" x14ac:dyDescent="0.25">
      <c r="A78">
        <v>61</v>
      </c>
      <c r="B78" s="9">
        <f t="shared" si="8"/>
        <v>1.064650843716541</v>
      </c>
      <c r="D78" s="13">
        <f t="shared" si="5"/>
        <v>0.50727943014084953</v>
      </c>
      <c r="E78" s="13">
        <f t="shared" si="6"/>
        <v>0.26664529113548541</v>
      </c>
      <c r="H78" s="13">
        <f t="shared" si="9"/>
        <v>-0.33761172556262586</v>
      </c>
      <c r="I78" s="13">
        <f t="shared" si="7"/>
        <v>0.37938024727864761</v>
      </c>
    </row>
    <row r="79" spans="1:9" x14ac:dyDescent="0.25">
      <c r="A79">
        <v>62</v>
      </c>
      <c r="B79" s="9">
        <f t="shared" si="8"/>
        <v>1.0821041362364843</v>
      </c>
      <c r="D79" s="13">
        <f t="shared" si="5"/>
        <v>0.51210960385817761</v>
      </c>
      <c r="E79" s="13">
        <f t="shared" si="6"/>
        <v>0.25820935953224</v>
      </c>
      <c r="H79" s="13">
        <f t="shared" si="9"/>
        <v>-0.33496085528907316</v>
      </c>
      <c r="I79" s="13">
        <f t="shared" si="7"/>
        <v>0.38873270187340486</v>
      </c>
    </row>
    <row r="80" spans="1:9" x14ac:dyDescent="0.25">
      <c r="A80">
        <v>63</v>
      </c>
      <c r="B80" s="9">
        <f t="shared" si="8"/>
        <v>1.0995574287564276</v>
      </c>
      <c r="D80" s="13">
        <f t="shared" si="5"/>
        <v>0.51678378402925329</v>
      </c>
      <c r="E80" s="13">
        <f t="shared" si="6"/>
        <v>0.24969477485675076</v>
      </c>
      <c r="H80" s="13">
        <f t="shared" si="9"/>
        <v>-0.33214466542821486</v>
      </c>
      <c r="I80" s="13">
        <f t="shared" si="7"/>
        <v>0.39802867880621579</v>
      </c>
    </row>
    <row r="81" spans="1:9" x14ac:dyDescent="0.25">
      <c r="A81">
        <v>64</v>
      </c>
      <c r="B81" s="9">
        <f t="shared" si="8"/>
        <v>1.1170107212763709</v>
      </c>
      <c r="D81" s="13">
        <f t="shared" si="5"/>
        <v>0.5213005468535169</v>
      </c>
      <c r="E81" s="13">
        <f t="shared" si="6"/>
        <v>0.24110413073399262</v>
      </c>
      <c r="H81" s="13">
        <f t="shared" si="9"/>
        <v>-0.32916401381876403</v>
      </c>
      <c r="I81" s="13">
        <f t="shared" si="7"/>
        <v>0.40726534643245449</v>
      </c>
    </row>
    <row r="82" spans="1:9" x14ac:dyDescent="0.25">
      <c r="A82">
        <v>65</v>
      </c>
      <c r="B82" s="9">
        <f t="shared" si="8"/>
        <v>1.1344640137963142</v>
      </c>
      <c r="D82" s="13">
        <f t="shared" si="5"/>
        <v>0.52565851648125694</v>
      </c>
      <c r="E82" s="13">
        <f t="shared" si="6"/>
        <v>0.23244004395738471</v>
      </c>
      <c r="H82" s="13">
        <f t="shared" si="9"/>
        <v>-0.3260198083960747</v>
      </c>
      <c r="I82" s="13">
        <f t="shared" si="7"/>
        <v>0.41643989117368435</v>
      </c>
    </row>
    <row r="83" spans="1:9" x14ac:dyDescent="0.25">
      <c r="A83">
        <v>66</v>
      </c>
      <c r="B83" s="9">
        <f t="shared" si="8"/>
        <v>1.1519173063162575</v>
      </c>
      <c r="D83" s="13">
        <f t="shared" si="5"/>
        <v>0.52985636543270842</v>
      </c>
      <c r="E83" s="13">
        <f t="shared" si="6"/>
        <v>0.22370515369169014</v>
      </c>
      <c r="H83" s="13">
        <f t="shared" si="9"/>
        <v>-0.32271300691557758</v>
      </c>
      <c r="I83" s="13">
        <f t="shared" si="7"/>
        <v>0.4255495183747014</v>
      </c>
    </row>
    <row r="84" spans="1:9" x14ac:dyDescent="0.25">
      <c r="A84">
        <v>67</v>
      </c>
      <c r="B84" s="9">
        <f t="shared" si="8"/>
        <v>1.1693705988362009</v>
      </c>
      <c r="D84" s="13">
        <f t="shared" si="5"/>
        <v>0.53389281500241537</v>
      </c>
      <c r="E84" s="13">
        <f t="shared" si="6"/>
        <v>0.21490212066910055</v>
      </c>
      <c r="H84" s="13">
        <f t="shared" si="9"/>
        <v>-0.3192446166610371</v>
      </c>
      <c r="I84" s="13">
        <f t="shared" si="7"/>
        <v>0.4345914531548134</v>
      </c>
    </row>
    <row r="85" spans="1:9" x14ac:dyDescent="0.25">
      <c r="A85">
        <v>68</v>
      </c>
      <c r="B85" s="9">
        <f t="shared" si="8"/>
        <v>1.1868238913561442</v>
      </c>
      <c r="D85" s="13">
        <f t="shared" ref="D85:D148" si="10">SIN(B85)*$B$6</f>
        <v>0.53776663564873672</v>
      </c>
      <c r="E85" s="13">
        <f t="shared" ref="E85:E148" si="11">COS(B85)*$B$8</f>
        <v>0.20603362637875158</v>
      </c>
      <c r="H85" s="13">
        <f t="shared" si="9"/>
        <v>-0.31561569413772406</v>
      </c>
      <c r="I85" s="13">
        <f t="shared" ref="I85:I148" si="12">D85*SIN($I$8)+E85*COS($I$8)+$N$8</f>
        <v>0.44356294125309503</v>
      </c>
    </row>
    <row r="86" spans="1:9" x14ac:dyDescent="0.25">
      <c r="A86">
        <v>69</v>
      </c>
      <c r="B86" s="9">
        <f t="shared" ref="B86:B149" si="13">RADIANS(A86)</f>
        <v>1.2042771838760873</v>
      </c>
      <c r="D86" s="13">
        <f t="shared" si="10"/>
        <v>0.54147664736837697</v>
      </c>
      <c r="E86" s="13">
        <f t="shared" si="11"/>
        <v>0.19710237224991523</v>
      </c>
      <c r="H86" s="13">
        <f t="shared" ref="H86:H149" si="14">D86*COS($I$8)-E86*SIN($I$8)+$N$6</f>
        <v>-0.31182734475059304</v>
      </c>
      <c r="I86" s="13">
        <f t="shared" si="12"/>
        <v>0.45246124986736258</v>
      </c>
    </row>
    <row r="87" spans="1:9" x14ac:dyDescent="0.25">
      <c r="A87">
        <v>70</v>
      </c>
      <c r="B87" s="9">
        <f t="shared" si="13"/>
        <v>1.2217304763960306</v>
      </c>
      <c r="D87" s="13">
        <f t="shared" si="10"/>
        <v>0.54502172005582683</v>
      </c>
      <c r="E87" s="13">
        <f t="shared" si="11"/>
        <v>0.18811107882911787</v>
      </c>
      <c r="H87" s="13">
        <f t="shared" si="14"/>
        <v>-0.30788072246756593</v>
      </c>
      <c r="I87" s="13">
        <f t="shared" si="12"/>
        <v>0.46128366848661273</v>
      </c>
    </row>
    <row r="88" spans="1:9" x14ac:dyDescent="0.25">
      <c r="A88">
        <v>71</v>
      </c>
      <c r="B88" s="9">
        <f t="shared" si="13"/>
        <v>1.2391837689159739</v>
      </c>
      <c r="D88" s="13">
        <f t="shared" si="10"/>
        <v>0.54840077384760366</v>
      </c>
      <c r="E88" s="13">
        <f t="shared" si="11"/>
        <v>0.17906248495143623</v>
      </c>
      <c r="H88" s="13">
        <f t="shared" si="14"/>
        <v>-0.30377702946802188</v>
      </c>
      <c r="I88" s="13">
        <f t="shared" si="12"/>
        <v>0.47002750971666896</v>
      </c>
    </row>
    <row r="89" spans="1:9" x14ac:dyDescent="0.25">
      <c r="A89">
        <v>72</v>
      </c>
      <c r="B89" s="9">
        <f t="shared" si="13"/>
        <v>1.2566370614359172</v>
      </c>
      <c r="D89" s="13">
        <f t="shared" si="10"/>
        <v>0.55161277945118903</v>
      </c>
      <c r="E89" s="13">
        <f t="shared" si="11"/>
        <v>0.16995934690622111</v>
      </c>
      <c r="H89" s="13">
        <f t="shared" si="14"/>
        <v>-0.29951751577660224</v>
      </c>
      <c r="I89" s="13">
        <f t="shared" si="12"/>
        <v>0.47869011009878948</v>
      </c>
    </row>
    <row r="90" spans="1:9" x14ac:dyDescent="0.25">
      <c r="A90">
        <v>73</v>
      </c>
      <c r="B90" s="9">
        <f t="shared" si="13"/>
        <v>1.2740903539558606</v>
      </c>
      <c r="D90" s="13">
        <f t="shared" si="10"/>
        <v>0.55465675845856055</v>
      </c>
      <c r="E90" s="13">
        <f t="shared" si="11"/>
        <v>0.16080443759750523</v>
      </c>
      <c r="H90" s="13">
        <f t="shared" si="14"/>
        <v>-0.29510347888243993</v>
      </c>
      <c r="I90" s="13">
        <f t="shared" si="12"/>
        <v>0.48726883092098117</v>
      </c>
    </row>
    <row r="91" spans="1:9" x14ac:dyDescent="0.25">
      <c r="A91">
        <v>74</v>
      </c>
      <c r="B91" s="9">
        <f t="shared" si="13"/>
        <v>1.2915436464758039</v>
      </c>
      <c r="D91" s="13">
        <f t="shared" si="10"/>
        <v>0.55753178364422495</v>
      </c>
      <c r="E91" s="13">
        <f t="shared" si="11"/>
        <v>0.15160054569934955</v>
      </c>
      <c r="H91" s="13">
        <f t="shared" si="14"/>
        <v>-0.29053626334393268</v>
      </c>
      <c r="I91" s="13">
        <f t="shared" si="12"/>
        <v>0.49576105902177775</v>
      </c>
    </row>
    <row r="92" spans="1:9" x14ac:dyDescent="0.25">
      <c r="A92">
        <v>75</v>
      </c>
      <c r="B92" s="9">
        <f t="shared" si="13"/>
        <v>1.3089969389957472</v>
      </c>
      <c r="D92" s="13">
        <f t="shared" si="10"/>
        <v>0.56023697924765958</v>
      </c>
      <c r="E92" s="13">
        <f t="shared" si="11"/>
        <v>0.14235047480638641</v>
      </c>
      <c r="H92" s="13">
        <f t="shared" si="14"/>
        <v>-0.28581726037917721</v>
      </c>
      <c r="I92" s="13">
        <f t="shared" si="12"/>
        <v>0.50416420758623348</v>
      </c>
    </row>
    <row r="93" spans="1:9" x14ac:dyDescent="0.25">
      <c r="A93">
        <v>76</v>
      </c>
      <c r="B93" s="9">
        <f t="shared" si="13"/>
        <v>1.3264502315156905</v>
      </c>
      <c r="D93" s="13">
        <f t="shared" si="10"/>
        <v>0.5627715212400779</v>
      </c>
      <c r="E93" s="13">
        <f t="shared" si="11"/>
        <v>0.13305704257981724</v>
      </c>
      <c r="H93" s="13">
        <f t="shared" si="14"/>
        <v>-0.28094790744219067</v>
      </c>
      <c r="I93" s="13">
        <f t="shared" si="12"/>
        <v>0.51247571693389271</v>
      </c>
    </row>
    <row r="94" spans="1:9" x14ac:dyDescent="0.25">
      <c r="A94">
        <v>77</v>
      </c>
      <c r="B94" s="9">
        <f t="shared" si="13"/>
        <v>1.3439035240356338</v>
      </c>
      <c r="D94" s="13">
        <f t="shared" si="10"/>
        <v>0.56513463757543636</v>
      </c>
      <c r="E94" s="13">
        <f t="shared" si="11"/>
        <v>0.12372307988912572</v>
      </c>
      <c r="H94" s="13">
        <f t="shared" si="14"/>
        <v>-0.27592968778504789</v>
      </c>
      <c r="I94" s="13">
        <f t="shared" si="12"/>
        <v>0.52069305529849264</v>
      </c>
    </row>
    <row r="95" spans="1:9" x14ac:dyDescent="0.25">
      <c r="A95">
        <v>78</v>
      </c>
      <c r="B95" s="9">
        <f t="shared" si="13"/>
        <v>1.3613568165555769</v>
      </c>
      <c r="D95" s="13">
        <f t="shared" si="10"/>
        <v>0.5673256084256072</v>
      </c>
      <c r="E95" s="13">
        <f t="shared" si="11"/>
        <v>0.11435142994976771</v>
      </c>
      <c r="H95" s="13">
        <f t="shared" si="14"/>
        <v>-0.27076413000606936</v>
      </c>
      <c r="I95" s="13">
        <f t="shared" si="12"/>
        <v>0.52881371959916423</v>
      </c>
    </row>
    <row r="96" spans="1:9" x14ac:dyDescent="0.25">
      <c r="A96">
        <v>79</v>
      </c>
      <c r="B96" s="9">
        <f t="shared" si="13"/>
        <v>1.3788101090755203</v>
      </c>
      <c r="D96" s="13">
        <f t="shared" si="10"/>
        <v>0.56934376639964501</v>
      </c>
      <c r="E96" s="13">
        <f t="shared" si="11"/>
        <v>0.10494494745709972</v>
      </c>
      <c r="H96" s="13">
        <f t="shared" si="14"/>
        <v>-0.26545280758419421</v>
      </c>
      <c r="I96" s="13">
        <f t="shared" si="12"/>
        <v>0.53683523620289497</v>
      </c>
    </row>
    <row r="97" spans="1:9" x14ac:dyDescent="0.25">
      <c r="A97">
        <v>80</v>
      </c>
      <c r="B97" s="9">
        <f t="shared" si="13"/>
        <v>1.3962634015954636</v>
      </c>
      <c r="D97" s="13">
        <f t="shared" si="10"/>
        <v>0.57118849674708061</v>
      </c>
      <c r="E97" s="13">
        <f t="shared" si="11"/>
        <v>9.5506497716811731E-2</v>
      </c>
      <c r="H97" s="13">
        <f t="shared" si="14"/>
        <v>-0.25999733839968409</v>
      </c>
      <c r="I97" s="13">
        <f t="shared" si="12"/>
        <v>0.54475516167802107</v>
      </c>
    </row>
    <row r="98" spans="1:9" x14ac:dyDescent="0.25">
      <c r="A98">
        <v>81</v>
      </c>
      <c r="B98" s="9">
        <f t="shared" si="13"/>
        <v>1.4137166941154069</v>
      </c>
      <c r="D98" s="13">
        <f t="shared" si="10"/>
        <v>0.57285923754517987</v>
      </c>
      <c r="E98" s="13">
        <f t="shared" si="11"/>
        <v>8.6038955772127015E-2</v>
      </c>
      <c r="H98" s="13">
        <f t="shared" si="14"/>
        <v>-0.25439938424130093</v>
      </c>
      <c r="I98" s="13">
        <f t="shared" si="12"/>
        <v>0.55257108353852091</v>
      </c>
    </row>
    <row r="99" spans="1:9" x14ac:dyDescent="0.25">
      <c r="A99">
        <v>82</v>
      </c>
      <c r="B99" s="9">
        <f t="shared" si="13"/>
        <v>1.4311699866353502</v>
      </c>
      <c r="D99" s="13">
        <f t="shared" si="10"/>
        <v>0.57435547987011082</v>
      </c>
      <c r="E99" s="13">
        <f t="shared" si="11"/>
        <v>7.6545205528036009E-2</v>
      </c>
      <c r="H99" s="13">
        <f t="shared" si="14"/>
        <v>-0.24866065030011011</v>
      </c>
      <c r="I99" s="13">
        <f t="shared" si="12"/>
        <v>0.56028062097888121</v>
      </c>
    </row>
    <row r="100" spans="1:9" x14ac:dyDescent="0.25">
      <c r="A100">
        <v>83</v>
      </c>
      <c r="B100" s="9">
        <f t="shared" si="13"/>
        <v>1.4486232791552935</v>
      </c>
      <c r="D100" s="13">
        <f t="shared" si="10"/>
        <v>0.57567676795196676</v>
      </c>
      <c r="E100" s="13">
        <f t="shared" si="11"/>
        <v>6.7028138872831128E-2</v>
      </c>
      <c r="H100" s="13">
        <f t="shared" si="14"/>
        <v>-0.24278288465006229</v>
      </c>
      <c r="I100" s="13">
        <f t="shared" si="12"/>
        <v>0.56788142559931354</v>
      </c>
    </row>
    <row r="101" spans="1:9" x14ac:dyDescent="0.25">
      <c r="A101">
        <v>84</v>
      </c>
      <c r="B101" s="9">
        <f t="shared" si="13"/>
        <v>1.4660765716752369</v>
      </c>
      <c r="D101" s="13">
        <f t="shared" si="10"/>
        <v>0.57682269931359842</v>
      </c>
      <c r="E101" s="13">
        <f t="shared" si="11"/>
        <v>5.7490654797209405E-2</v>
      </c>
      <c r="H101" s="13">
        <f t="shared" si="14"/>
        <v>-0.23676787771551369</v>
      </c>
      <c r="I101" s="13">
        <f t="shared" si="12"/>
        <v>0.57537118212109983</v>
      </c>
    </row>
    <row r="102" spans="1:9" x14ac:dyDescent="0.25">
      <c r="A102">
        <v>85</v>
      </c>
      <c r="B102" s="9">
        <f t="shared" si="13"/>
        <v>1.4835298641951802</v>
      </c>
      <c r="D102" s="13">
        <f t="shared" si="10"/>
        <v>0.57779292489321232</v>
      </c>
      <c r="E102" s="13">
        <f t="shared" si="11"/>
        <v>4.7935658511211982E-2</v>
      </c>
      <c r="H102" s="13">
        <f t="shared" si="14"/>
        <v>-0.23061746172584544</v>
      </c>
      <c r="I102" s="13">
        <f t="shared" si="12"/>
        <v>0.58274760909184897</v>
      </c>
    </row>
    <row r="103" spans="1:9" x14ac:dyDescent="0.25">
      <c r="A103">
        <v>86</v>
      </c>
      <c r="B103" s="9">
        <f t="shared" si="13"/>
        <v>1.5009831567151235</v>
      </c>
      <c r="D103" s="13">
        <f t="shared" si="10"/>
        <v>0.57858714915069798</v>
      </c>
      <c r="E103" s="13">
        <f t="shared" si="11"/>
        <v>3.8366060559268882E-2</v>
      </c>
      <c r="H103" s="13">
        <f t="shared" si="14"/>
        <v>-0.22433351015734823</v>
      </c>
      <c r="I103" s="13">
        <f t="shared" si="12"/>
        <v>0.59000845958044834</v>
      </c>
    </row>
    <row r="104" spans="1:9" x14ac:dyDescent="0.25">
      <c r="A104">
        <v>87</v>
      </c>
      <c r="B104" s="9">
        <f t="shared" si="13"/>
        <v>1.5184364492350666</v>
      </c>
      <c r="D104" s="13">
        <f t="shared" si="10"/>
        <v>0.57920513015765274</v>
      </c>
      <c r="E104" s="13">
        <f t="shared" si="11"/>
        <v>2.8784775933619184E-2</v>
      </c>
      <c r="H104" s="13">
        <f t="shared" si="14"/>
        <v>-0.21791793716254396</v>
      </c>
      <c r="I104" s="13">
        <f t="shared" si="12"/>
        <v>0.59715152186150167</v>
      </c>
    </row>
    <row r="105" spans="1:9" x14ac:dyDescent="0.25">
      <c r="A105">
        <v>88</v>
      </c>
      <c r="B105" s="9">
        <f t="shared" si="13"/>
        <v>1.5358897417550099</v>
      </c>
      <c r="D105" s="13">
        <f t="shared" si="10"/>
        <v>0.57964667967107553</v>
      </c>
      <c r="E105" s="13">
        <f t="shared" si="11"/>
        <v>1.9194723186375596E-2</v>
      </c>
      <c r="H105" s="13">
        <f t="shared" si="14"/>
        <v>-0.21137269698711583</v>
      </c>
      <c r="I105" s="13">
        <f t="shared" si="12"/>
        <v>0.60417462008904199</v>
      </c>
    </row>
    <row r="106" spans="1:9" x14ac:dyDescent="0.25">
      <c r="A106">
        <v>89</v>
      </c>
      <c r="B106" s="9">
        <f t="shared" si="13"/>
        <v>1.5533430342749532</v>
      </c>
      <c r="D106" s="13">
        <f t="shared" si="10"/>
        <v>0.57991166319070686</v>
      </c>
      <c r="E106" s="13">
        <f t="shared" si="11"/>
        <v>9.5988235405059796E-3</v>
      </c>
      <c r="H106" s="13">
        <f t="shared" si="14"/>
        <v>-0.20469978337462633</v>
      </c>
      <c r="I106" s="13">
        <f t="shared" si="12"/>
        <v>0.61107561495931462</v>
      </c>
    </row>
    <row r="107" spans="1:9" x14ac:dyDescent="0.25">
      <c r="A107">
        <v>90</v>
      </c>
      <c r="B107" s="9">
        <f t="shared" si="13"/>
        <v>1.5707963267948966</v>
      </c>
      <c r="D107" s="13">
        <f t="shared" si="10"/>
        <v>0.57999999999999996</v>
      </c>
      <c r="E107" s="13">
        <f t="shared" si="11"/>
        <v>3.369158250998705E-17</v>
      </c>
      <c r="H107" s="13">
        <f t="shared" si="14"/>
        <v>-0.19790122895920395</v>
      </c>
      <c r="I107" s="13">
        <f t="shared" si="12"/>
        <v>0.61785240436243083</v>
      </c>
    </row>
    <row r="108" spans="1:9" x14ac:dyDescent="0.25">
      <c r="A108">
        <v>91</v>
      </c>
      <c r="B108" s="9">
        <f t="shared" si="13"/>
        <v>1.5882496193148399</v>
      </c>
      <c r="D108" s="13">
        <f t="shared" si="10"/>
        <v>0.57991166319070686</v>
      </c>
      <c r="E108" s="13">
        <f t="shared" si="11"/>
        <v>-9.5988235405059137E-3</v>
      </c>
      <c r="H108" s="13">
        <f t="shared" si="14"/>
        <v>-0.1909791046463826</v>
      </c>
      <c r="I108" s="13">
        <f t="shared" si="12"/>
        <v>0.62450292402269003</v>
      </c>
    </row>
    <row r="109" spans="1:9" x14ac:dyDescent="0.25">
      <c r="A109">
        <v>92</v>
      </c>
      <c r="B109" s="9">
        <f t="shared" si="13"/>
        <v>1.6057029118347832</v>
      </c>
      <c r="D109" s="13">
        <f t="shared" si="10"/>
        <v>0.57964667967107553</v>
      </c>
      <c r="E109" s="13">
        <f t="shared" si="11"/>
        <v>-1.9194723186375526E-2</v>
      </c>
      <c r="H109" s="13">
        <f t="shared" si="14"/>
        <v>-0.18393551898228425</v>
      </c>
      <c r="I109" s="13">
        <f t="shared" si="12"/>
        <v>0.63102514812737898</v>
      </c>
    </row>
    <row r="110" spans="1:9" x14ac:dyDescent="0.25">
      <c r="A110">
        <v>93</v>
      </c>
      <c r="B110" s="9">
        <f t="shared" si="13"/>
        <v>1.6231562043547265</v>
      </c>
      <c r="D110" s="13">
        <f t="shared" si="10"/>
        <v>0.57920513015765274</v>
      </c>
      <c r="E110" s="13">
        <f t="shared" si="11"/>
        <v>-2.8784775933619115E-2</v>
      </c>
      <c r="H110" s="13">
        <f t="shared" si="14"/>
        <v>-0.17677261751133463</v>
      </c>
      <c r="I110" s="13">
        <f t="shared" si="12"/>
        <v>0.63741708994385271</v>
      </c>
    </row>
    <row r="111" spans="1:9" x14ac:dyDescent="0.25">
      <c r="A111">
        <v>94</v>
      </c>
      <c r="B111" s="9">
        <f t="shared" si="13"/>
        <v>1.6406094968746698</v>
      </c>
      <c r="D111" s="13">
        <f t="shared" si="10"/>
        <v>0.57858714915069798</v>
      </c>
      <c r="E111" s="13">
        <f t="shared" si="11"/>
        <v>-3.8366060559268937E-2</v>
      </c>
      <c r="H111" s="13">
        <f t="shared" si="14"/>
        <v>-0.16949258212271071</v>
      </c>
      <c r="I111" s="13">
        <f t="shared" si="12"/>
        <v>0.64367680242471426</v>
      </c>
    </row>
    <row r="112" spans="1:9" x14ac:dyDescent="0.25">
      <c r="A112">
        <v>95</v>
      </c>
      <c r="B112" s="9">
        <f t="shared" si="13"/>
        <v>1.6580627893946132</v>
      </c>
      <c r="D112" s="13">
        <f t="shared" si="10"/>
        <v>0.57779292489321232</v>
      </c>
      <c r="E112" s="13">
        <f t="shared" si="11"/>
        <v>-4.793565851121203E-2</v>
      </c>
      <c r="H112" s="13">
        <f t="shared" si="14"/>
        <v>-0.16209763038571504</v>
      </c>
      <c r="I112" s="13">
        <f t="shared" si="12"/>
        <v>0.64980237880090252</v>
      </c>
    </row>
    <row r="113" spans="1:9" x14ac:dyDescent="0.25">
      <c r="A113">
        <v>96</v>
      </c>
      <c r="B113" s="9">
        <f t="shared" si="13"/>
        <v>1.6755160819145565</v>
      </c>
      <c r="D113" s="13">
        <f t="shared" si="10"/>
        <v>0.57682269931359842</v>
      </c>
      <c r="E113" s="13">
        <f t="shared" si="11"/>
        <v>-5.749065479720946E-2</v>
      </c>
      <c r="H113" s="13">
        <f t="shared" si="14"/>
        <v>-0.15459001487428306</v>
      </c>
      <c r="I113" s="13">
        <f t="shared" si="12"/>
        <v>0.6557919531625136</v>
      </c>
    </row>
    <row r="114" spans="1:9" x14ac:dyDescent="0.25">
      <c r="A114">
        <v>97</v>
      </c>
      <c r="B114" s="9">
        <f t="shared" si="13"/>
        <v>1.6929693744344996</v>
      </c>
      <c r="D114" s="13">
        <f t="shared" si="10"/>
        <v>0.57567676795196676</v>
      </c>
      <c r="E114" s="13">
        <f t="shared" si="11"/>
        <v>-6.7028138872831058E-2</v>
      </c>
      <c r="H114" s="13">
        <f t="shared" si="14"/>
        <v>-0.14697202248082777</v>
      </c>
      <c r="I114" s="13">
        <f t="shared" si="12"/>
        <v>0.66164370102717451</v>
      </c>
    </row>
    <row r="115" spans="1:9" x14ac:dyDescent="0.25">
      <c r="A115">
        <v>98</v>
      </c>
      <c r="B115" s="9">
        <f t="shared" si="13"/>
        <v>1.7104226669544429</v>
      </c>
      <c r="D115" s="13">
        <f t="shared" si="10"/>
        <v>0.57435547987011082</v>
      </c>
      <c r="E115" s="13">
        <f t="shared" si="11"/>
        <v>-7.6545205528035953E-2</v>
      </c>
      <c r="H115" s="13">
        <f t="shared" si="14"/>
        <v>-0.13924597371962907</v>
      </c>
      <c r="I115" s="13">
        <f t="shared" si="12"/>
        <v>0.66735583989579883</v>
      </c>
    </row>
    <row r="116" spans="1:9" x14ac:dyDescent="0.25">
      <c r="A116">
        <v>99</v>
      </c>
      <c r="B116" s="9">
        <f t="shared" si="13"/>
        <v>1.7278759594743862</v>
      </c>
      <c r="D116" s="13">
        <f t="shared" si="10"/>
        <v>0.57285923754517987</v>
      </c>
      <c r="E116" s="13">
        <f t="shared" si="11"/>
        <v>-8.603895577212696E-2</v>
      </c>
      <c r="H116" s="13">
        <f t="shared" si="14"/>
        <v>-0.13141422201998357</v>
      </c>
      <c r="I116" s="13">
        <f t="shared" si="12"/>
        <v>0.67292662979555207</v>
      </c>
    </row>
    <row r="117" spans="1:9" x14ac:dyDescent="0.25">
      <c r="A117">
        <v>100</v>
      </c>
      <c r="B117" s="9">
        <f t="shared" si="13"/>
        <v>1.7453292519943295</v>
      </c>
      <c r="D117" s="13">
        <f t="shared" si="10"/>
        <v>0.57118849674708061</v>
      </c>
      <c r="E117" s="13">
        <f t="shared" si="11"/>
        <v>-9.5506497716811675E-2</v>
      </c>
      <c r="H117" s="13">
        <f t="shared" si="14"/>
        <v>-0.12347915300932702</v>
      </c>
      <c r="I117" s="13">
        <f t="shared" si="12"/>
        <v>0.67835437380986541</v>
      </c>
    </row>
    <row r="118" spans="1:9" x14ac:dyDescent="0.25">
      <c r="A118">
        <v>101</v>
      </c>
      <c r="B118" s="9">
        <f t="shared" si="13"/>
        <v>1.7627825445142729</v>
      </c>
      <c r="D118" s="13">
        <f t="shared" si="10"/>
        <v>0.56934376639964501</v>
      </c>
      <c r="E118" s="13">
        <f t="shared" si="11"/>
        <v>-0.10494494745709965</v>
      </c>
      <c r="H118" s="13">
        <f t="shared" si="14"/>
        <v>-0.11544318378654864</v>
      </c>
      <c r="I118" s="13">
        <f t="shared" si="12"/>
        <v>0.68363741859533245</v>
      </c>
    </row>
    <row r="119" spans="1:9" x14ac:dyDescent="0.25">
      <c r="A119">
        <v>102</v>
      </c>
      <c r="B119" s="9">
        <f t="shared" si="13"/>
        <v>1.7802358370342162</v>
      </c>
      <c r="D119" s="13">
        <f t="shared" si="10"/>
        <v>0.56732560842560731</v>
      </c>
      <c r="E119" s="13">
        <f t="shared" si="11"/>
        <v>-0.11435142994976764</v>
      </c>
      <c r="H119" s="13">
        <f t="shared" si="14"/>
        <v>-0.10730876218572008</v>
      </c>
      <c r="I119" s="13">
        <f t="shared" si="12"/>
        <v>0.68877415488533367</v>
      </c>
    </row>
    <row r="120" spans="1:9" x14ac:dyDescent="0.25">
      <c r="A120">
        <v>103</v>
      </c>
      <c r="B120" s="9">
        <f t="shared" si="13"/>
        <v>1.7976891295541595</v>
      </c>
      <c r="D120" s="13">
        <f t="shared" si="10"/>
        <v>0.56513463757543636</v>
      </c>
      <c r="E120" s="13">
        <f t="shared" si="11"/>
        <v>-0.12372307988912577</v>
      </c>
      <c r="H120" s="13">
        <f t="shared" si="14"/>
        <v>-9.9078366030460524E-2</v>
      </c>
      <c r="I120" s="13">
        <f t="shared" si="12"/>
        <v>0.6937630179802341</v>
      </c>
    </row>
    <row r="121" spans="1:9" x14ac:dyDescent="0.25">
      <c r="A121">
        <v>104</v>
      </c>
      <c r="B121" s="9">
        <f t="shared" si="13"/>
        <v>1.8151424220741028</v>
      </c>
      <c r="D121" s="13">
        <f t="shared" si="10"/>
        <v>0.5627715212400779</v>
      </c>
      <c r="E121" s="13">
        <f t="shared" si="11"/>
        <v>-0.13305704257981729</v>
      </c>
      <c r="H121" s="13">
        <f t="shared" si="14"/>
        <v>-9.075450237916885E-2</v>
      </c>
      <c r="I121" s="13">
        <f t="shared" si="12"/>
        <v>0.69860248822400717</v>
      </c>
    </row>
    <row r="122" spans="1:9" x14ac:dyDescent="0.25">
      <c r="A122">
        <v>105</v>
      </c>
      <c r="B122" s="9">
        <f t="shared" si="13"/>
        <v>1.8325957145940461</v>
      </c>
      <c r="D122" s="13">
        <f t="shared" si="10"/>
        <v>0.56023697924765958</v>
      </c>
      <c r="E122" s="13">
        <f t="shared" si="11"/>
        <v>-0.14235047480638649</v>
      </c>
      <c r="H122" s="13">
        <f t="shared" si="14"/>
        <v>-8.2339706761348191E-2</v>
      </c>
      <c r="I122" s="13">
        <f t="shared" si="12"/>
        <v>0.70329109146713531</v>
      </c>
    </row>
    <row r="123" spans="1:9" x14ac:dyDescent="0.25">
      <c r="A123">
        <v>106</v>
      </c>
      <c r="B123" s="9">
        <f t="shared" si="13"/>
        <v>1.8500490071139892</v>
      </c>
      <c r="D123" s="13">
        <f t="shared" si="10"/>
        <v>0.55753178364422495</v>
      </c>
      <c r="E123" s="13">
        <f t="shared" si="11"/>
        <v>-0.1516005456993495</v>
      </c>
      <c r="H123" s="13">
        <f t="shared" si="14"/>
        <v>-7.3836542405259747E-2</v>
      </c>
      <c r="I123" s="13">
        <f t="shared" si="12"/>
        <v>0.70782739951565132</v>
      </c>
    </row>
    <row r="124" spans="1:9" x14ac:dyDescent="0.25">
      <c r="A124">
        <v>107</v>
      </c>
      <c r="B124" s="9">
        <f t="shared" si="13"/>
        <v>1.8675022996339325</v>
      </c>
      <c r="D124" s="13">
        <f t="shared" si="10"/>
        <v>0.55465675845856055</v>
      </c>
      <c r="E124" s="13">
        <f t="shared" si="11"/>
        <v>-0.16080443759750518</v>
      </c>
      <c r="H124" s="13">
        <f t="shared" si="14"/>
        <v>-6.5247599457138233E-2</v>
      </c>
      <c r="I124" s="13">
        <f t="shared" si="12"/>
        <v>0.71221003056617949</v>
      </c>
    </row>
    <row r="125" spans="1:9" x14ac:dyDescent="0.25">
      <c r="A125">
        <v>108</v>
      </c>
      <c r="B125" s="9">
        <f t="shared" si="13"/>
        <v>1.8849555921538759</v>
      </c>
      <c r="D125" s="13">
        <f t="shared" si="10"/>
        <v>0.55161277945118903</v>
      </c>
      <c r="E125" s="13">
        <f t="shared" si="11"/>
        <v>-0.16995934690622105</v>
      </c>
      <c r="H125" s="13">
        <f t="shared" si="14"/>
        <v>-5.657549419220867E-2</v>
      </c>
      <c r="I125" s="13">
        <f t="shared" si="12"/>
        <v>0.71643764962684608</v>
      </c>
    </row>
    <row r="126" spans="1:9" x14ac:dyDescent="0.25">
      <c r="A126">
        <v>109</v>
      </c>
      <c r="B126" s="9">
        <f t="shared" si="13"/>
        <v>1.9024088846738192</v>
      </c>
      <c r="D126" s="13">
        <f t="shared" si="10"/>
        <v>0.54840077384760377</v>
      </c>
      <c r="E126" s="13">
        <f t="shared" si="11"/>
        <v>-0.17906248495143617</v>
      </c>
      <c r="H126" s="13">
        <f t="shared" si="14"/>
        <v>-4.7822868217743425E-2</v>
      </c>
      <c r="I126" s="13">
        <f t="shared" si="12"/>
        <v>0.72050896892393179</v>
      </c>
    </row>
    <row r="127" spans="1:9" x14ac:dyDescent="0.25">
      <c r="A127">
        <v>110</v>
      </c>
      <c r="B127" s="9">
        <f t="shared" si="13"/>
        <v>1.9198621771937625</v>
      </c>
      <c r="D127" s="13">
        <f t="shared" si="10"/>
        <v>0.54502172005582683</v>
      </c>
      <c r="E127" s="13">
        <f t="shared" si="11"/>
        <v>-0.18811107882911782</v>
      </c>
      <c r="H127" s="13">
        <f t="shared" si="14"/>
        <v>-3.8992387668402712E-2</v>
      </c>
      <c r="I127" s="13">
        <f t="shared" si="12"/>
        <v>0.72442274829413855</v>
      </c>
    </row>
    <row r="128" spans="1:9" x14ac:dyDescent="0.25">
      <c r="A128">
        <v>111</v>
      </c>
      <c r="B128" s="9">
        <f t="shared" si="13"/>
        <v>1.9373154697137058</v>
      </c>
      <c r="D128" s="13">
        <f t="shared" si="10"/>
        <v>0.54147664736837697</v>
      </c>
      <c r="E128" s="13">
        <f t="shared" si="11"/>
        <v>-0.19710237224991517</v>
      </c>
      <c r="H128" s="13">
        <f t="shared" si="14"/>
        <v>-3.0086742394104804E-2</v>
      </c>
      <c r="I128" s="13">
        <f t="shared" si="12"/>
        <v>0.72817779556235662</v>
      </c>
    </row>
    <row r="129" spans="1:9" x14ac:dyDescent="0.25">
      <c r="A129">
        <v>112</v>
      </c>
      <c r="B129" s="9">
        <f t="shared" si="13"/>
        <v>1.9547687622336491</v>
      </c>
      <c r="D129" s="13">
        <f t="shared" si="10"/>
        <v>0.53776663564873672</v>
      </c>
      <c r="E129" s="13">
        <f t="shared" si="11"/>
        <v>-0.20603362637875167</v>
      </c>
      <c r="H129" s="13">
        <f t="shared" si="14"/>
        <v>-2.1108645140671206E-2</v>
      </c>
      <c r="I129" s="13">
        <f t="shared" si="12"/>
        <v>0.73177296690481242</v>
      </c>
    </row>
    <row r="130" spans="1:9" x14ac:dyDescent="0.25">
      <c r="A130">
        <v>113</v>
      </c>
      <c r="B130" s="9">
        <f t="shared" si="13"/>
        <v>1.9722220547535925</v>
      </c>
      <c r="D130" s="13">
        <f t="shared" si="10"/>
        <v>0.53389281500241537</v>
      </c>
      <c r="E130" s="13">
        <f t="shared" si="11"/>
        <v>-0.21490212066910058</v>
      </c>
      <c r="H130" s="13">
        <f t="shared" si="14"/>
        <v>-1.2060830723498006E-2</v>
      </c>
      <c r="I130" s="13">
        <f t="shared" si="12"/>
        <v>0.73520716719748735</v>
      </c>
    </row>
    <row r="131" spans="1:9" x14ac:dyDescent="0.25">
      <c r="A131">
        <v>114</v>
      </c>
      <c r="B131" s="9">
        <f t="shared" si="13"/>
        <v>1.9896753472735358</v>
      </c>
      <c r="D131" s="13">
        <f t="shared" si="10"/>
        <v>0.52985636543270842</v>
      </c>
      <c r="E131" s="13">
        <f t="shared" si="11"/>
        <v>-0.22370515369169017</v>
      </c>
      <c r="H131" s="13">
        <f t="shared" si="14"/>
        <v>-2.9460551945047209E-3</v>
      </c>
      <c r="I131" s="13">
        <f t="shared" si="12"/>
        <v>0.73847935034970491</v>
      </c>
    </row>
    <row r="132" spans="1:9" x14ac:dyDescent="0.25">
      <c r="A132">
        <v>115</v>
      </c>
      <c r="B132" s="9">
        <f t="shared" si="13"/>
        <v>2.0071286397934789</v>
      </c>
      <c r="D132" s="13">
        <f t="shared" si="10"/>
        <v>0.52565851648125694</v>
      </c>
      <c r="E132" s="13">
        <f t="shared" si="11"/>
        <v>-0.23244004395738466</v>
      </c>
      <c r="H132" s="13">
        <f t="shared" si="14"/>
        <v>6.2329049973853523E-3</v>
      </c>
      <c r="I132" s="13">
        <f t="shared" si="12"/>
        <v>0.74158851962277827</v>
      </c>
    </row>
    <row r="133" spans="1:9" x14ac:dyDescent="0.25">
      <c r="A133">
        <v>116</v>
      </c>
      <c r="B133" s="9">
        <f t="shared" si="13"/>
        <v>2.0245819323134224</v>
      </c>
      <c r="D133" s="13">
        <f t="shared" si="10"/>
        <v>0.52130054685351679</v>
      </c>
      <c r="E133" s="13">
        <f t="shared" si="11"/>
        <v>-0.24110413073399264</v>
      </c>
      <c r="H133" s="13">
        <f t="shared" si="14"/>
        <v>1.5473253851979618E-2</v>
      </c>
      <c r="I133" s="13">
        <f t="shared" si="12"/>
        <v>0.74453372793362793</v>
      </c>
    </row>
    <row r="134" spans="1:9" x14ac:dyDescent="0.25">
      <c r="A134">
        <v>117</v>
      </c>
      <c r="B134" s="9">
        <f t="shared" si="13"/>
        <v>2.0420352248333655</v>
      </c>
      <c r="D134" s="13">
        <f t="shared" si="10"/>
        <v>0.51678378402925329</v>
      </c>
      <c r="E134" s="13">
        <f t="shared" si="11"/>
        <v>-0.24969477485675071</v>
      </c>
      <c r="H134" s="13">
        <f t="shared" si="14"/>
        <v>2.4772176669503321E-2</v>
      </c>
      <c r="I134" s="13">
        <f t="shared" si="12"/>
        <v>0.74731407814327111</v>
      </c>
    </row>
    <row r="135" spans="1:9" x14ac:dyDescent="0.25">
      <c r="A135">
        <v>118</v>
      </c>
      <c r="B135" s="9">
        <f t="shared" si="13"/>
        <v>2.0594885173533091</v>
      </c>
      <c r="D135" s="13">
        <f t="shared" si="10"/>
        <v>0.51210960385817761</v>
      </c>
      <c r="E135" s="13">
        <f t="shared" si="11"/>
        <v>-0.25820935953224</v>
      </c>
      <c r="H135" s="13">
        <f t="shared" si="14"/>
        <v>3.4126840907985845E-2</v>
      </c>
      <c r="I135" s="13">
        <f t="shared" si="12"/>
        <v>0.74992872333010063</v>
      </c>
    </row>
    <row r="136" spans="1:9" x14ac:dyDescent="0.25">
      <c r="A136">
        <v>119</v>
      </c>
      <c r="B136" s="9">
        <f t="shared" si="13"/>
        <v>2.0769418098732522</v>
      </c>
      <c r="D136" s="13">
        <f t="shared" si="10"/>
        <v>0.50727943014084953</v>
      </c>
      <c r="E136" s="13">
        <f t="shared" si="11"/>
        <v>-0.26664529113548535</v>
      </c>
      <c r="H136" s="13">
        <f t="shared" si="14"/>
        <v>4.3534397046079254E-2</v>
      </c>
      <c r="I136" s="13">
        <f t="shared" si="12"/>
        <v>0.75237686704786344</v>
      </c>
    </row>
    <row r="137" spans="1:9" x14ac:dyDescent="0.25">
      <c r="A137">
        <v>120</v>
      </c>
      <c r="B137" s="9">
        <f t="shared" si="13"/>
        <v>2.0943951023931953</v>
      </c>
      <c r="D137" s="13">
        <f t="shared" si="10"/>
        <v>0.50229473419497439</v>
      </c>
      <c r="E137" s="13">
        <f t="shared" si="11"/>
        <v>-0.27499999999999991</v>
      </c>
      <c r="H137" s="13">
        <f t="shared" si="14"/>
        <v>5.2991979451050969E-2</v>
      </c>
      <c r="I137" s="13">
        <f t="shared" si="12"/>
        <v>0.75465776356826764</v>
      </c>
    </row>
    <row r="138" spans="1:9" x14ac:dyDescent="0.25">
      <c r="A138">
        <v>121</v>
      </c>
      <c r="B138" s="9">
        <f t="shared" si="13"/>
        <v>2.1118483949131388</v>
      </c>
      <c r="D138" s="13">
        <f t="shared" si="10"/>
        <v>0.49715703440722514</v>
      </c>
      <c r="E138" s="13">
        <f t="shared" si="11"/>
        <v>-0.28327094120052987</v>
      </c>
      <c r="H138" s="13">
        <f t="shared" si="14"/>
        <v>6.2496707251682881E-2</v>
      </c>
      <c r="I138" s="13">
        <f t="shared" si="12"/>
        <v>0.75677071810813767</v>
      </c>
    </row>
    <row r="139" spans="1:9" x14ac:dyDescent="0.25">
      <c r="A139">
        <v>122</v>
      </c>
      <c r="B139" s="9">
        <f t="shared" si="13"/>
        <v>2.1293016874330819</v>
      </c>
      <c r="D139" s="13">
        <f t="shared" si="10"/>
        <v>0.49186789577072709</v>
      </c>
      <c r="E139" s="13">
        <f t="shared" si="11"/>
        <v>-0.29145559532826265</v>
      </c>
      <c r="H139" s="13">
        <f t="shared" si="14"/>
        <v>7.2045685215812227E-2</v>
      </c>
      <c r="I139" s="13">
        <f t="shared" si="12"/>
        <v>0.75871508704105184</v>
      </c>
    </row>
    <row r="140" spans="1:9" x14ac:dyDescent="0.25">
      <c r="A140">
        <v>123</v>
      </c>
      <c r="B140" s="9">
        <f t="shared" si="13"/>
        <v>2.1467549799530254</v>
      </c>
      <c r="D140" s="13">
        <f t="shared" si="10"/>
        <v>0.48642892940834587</v>
      </c>
      <c r="E140" s="13">
        <f t="shared" si="11"/>
        <v>-0.29955146925826492</v>
      </c>
      <c r="H140" s="13">
        <f t="shared" si="14"/>
        <v>8.1636004632248571E-2</v>
      </c>
      <c r="I140" s="13">
        <f t="shared" si="12"/>
        <v>0.76049027809339775</v>
      </c>
    </row>
    <row r="141" spans="1:9" x14ac:dyDescent="0.25">
      <c r="A141">
        <v>124</v>
      </c>
      <c r="B141" s="9">
        <f t="shared" si="13"/>
        <v>2.1642082724729685</v>
      </c>
      <c r="D141" s="13">
        <f t="shared" si="10"/>
        <v>0.48084179208192418</v>
      </c>
      <c r="E141" s="13">
        <f t="shared" si="11"/>
        <v>-0.30755609690891073</v>
      </c>
      <c r="H141" s="13">
        <f t="shared" si="14"/>
        <v>9.1264744196793646E-2</v>
      </c>
      <c r="I141" s="13">
        <f t="shared" si="12"/>
        <v>0.76209575052478429</v>
      </c>
    </row>
    <row r="142" spans="1:9" x14ac:dyDescent="0.25">
      <c r="A142">
        <v>125</v>
      </c>
      <c r="B142" s="9">
        <f t="shared" si="13"/>
        <v>2.1816615649929121</v>
      </c>
      <c r="D142" s="13">
        <f t="shared" si="10"/>
        <v>0.47510818568761515</v>
      </c>
      <c r="E142" s="13">
        <f t="shared" si="11"/>
        <v>-0.3154670399930754</v>
      </c>
      <c r="H142" s="13">
        <f t="shared" si="14"/>
        <v>0.10092897090210082</v>
      </c>
      <c r="I142" s="13">
        <f t="shared" si="12"/>
        <v>0.76353101529275613</v>
      </c>
    </row>
    <row r="143" spans="1:9" x14ac:dyDescent="0.25">
      <c r="A143">
        <v>126</v>
      </c>
      <c r="B143" s="9">
        <f t="shared" si="13"/>
        <v>2.1991148575128552</v>
      </c>
      <c r="D143" s="13">
        <f t="shared" si="10"/>
        <v>0.46922985673746948</v>
      </c>
      <c r="E143" s="13">
        <f t="shared" si="11"/>
        <v>-0.32328188876086017</v>
      </c>
      <c r="H143" s="13">
        <f t="shared" si="14"/>
        <v>0.11062574093109584</v>
      </c>
      <c r="I143" s="13">
        <f t="shared" si="12"/>
        <v>0.7647956352017613</v>
      </c>
    </row>
    <row r="144" spans="1:9" x14ac:dyDescent="0.25">
      <c r="A144">
        <v>127</v>
      </c>
      <c r="B144" s="9">
        <f t="shared" si="13"/>
        <v>2.2165681500327987</v>
      </c>
      <c r="D144" s="13">
        <f t="shared" si="10"/>
        <v>0.46320859582742974</v>
      </c>
      <c r="E144" s="13">
        <f t="shared" si="11"/>
        <v>-0.33099826273362665</v>
      </c>
      <c r="H144" s="13">
        <f t="shared" si="14"/>
        <v>0.12035210055369358</v>
      </c>
      <c r="I144" s="13">
        <f t="shared" si="12"/>
        <v>0.76588922503632484</v>
      </c>
    </row>
    <row r="145" spans="1:9" x14ac:dyDescent="0.25">
      <c r="A145">
        <v>128</v>
      </c>
      <c r="B145" s="9">
        <f t="shared" si="13"/>
        <v>2.2340214425527418</v>
      </c>
      <c r="D145" s="13">
        <f t="shared" si="10"/>
        <v>0.45704623709189873</v>
      </c>
      <c r="E145" s="13">
        <f t="shared" si="11"/>
        <v>-0.33861381142911207</v>
      </c>
      <c r="H145" s="13">
        <f t="shared" si="14"/>
        <v>0.13010508702653112</v>
      </c>
      <c r="I145" s="13">
        <f t="shared" si="12"/>
        <v>0.76681145167838938</v>
      </c>
    </row>
    <row r="146" spans="1:9" x14ac:dyDescent="0.25">
      <c r="A146">
        <v>129</v>
      </c>
      <c r="B146" s="9">
        <f t="shared" si="13"/>
        <v>2.2514747350726849</v>
      </c>
      <c r="D146" s="13">
        <f t="shared" si="10"/>
        <v>0.45074465764504318</v>
      </c>
      <c r="E146" s="13">
        <f t="shared" si="11"/>
        <v>-0.34612621507741054</v>
      </c>
      <c r="H146" s="13">
        <f t="shared" si="14"/>
        <v>0.13988172949544977</v>
      </c>
      <c r="I146" s="13">
        <f t="shared" si="12"/>
        <v>0.76756203420878588</v>
      </c>
    </row>
    <row r="147" spans="1:9" x14ac:dyDescent="0.25">
      <c r="A147">
        <v>130</v>
      </c>
      <c r="B147" s="9">
        <f t="shared" si="13"/>
        <v>2.2689280275926285</v>
      </c>
      <c r="D147" s="13">
        <f t="shared" si="10"/>
        <v>0.4443057770090072</v>
      </c>
      <c r="E147" s="13">
        <f t="shared" si="11"/>
        <v>-0.3535331853275967</v>
      </c>
      <c r="H147" s="13">
        <f t="shared" si="14"/>
        <v>0.14967904990044537</v>
      </c>
      <c r="I147" s="13">
        <f t="shared" si="12"/>
        <v>0.76814074399280452</v>
      </c>
    </row>
    <row r="148" spans="1:9" x14ac:dyDescent="0.25">
      <c r="A148">
        <v>131</v>
      </c>
      <c r="B148" s="9">
        <f t="shared" si="13"/>
        <v>2.2863813201125716</v>
      </c>
      <c r="D148" s="13">
        <f t="shared" si="10"/>
        <v>0.43773155652920781</v>
      </c>
      <c r="E148" s="13">
        <f t="shared" si="11"/>
        <v>-0.36083246594477897</v>
      </c>
      <c r="H148" s="13">
        <f t="shared" si="14"/>
        <v>0.15949406388281309</v>
      </c>
      <c r="I148" s="13">
        <f t="shared" si="12"/>
        <v>0.76854740474983896</v>
      </c>
    </row>
    <row r="149" spans="1:9" x14ac:dyDescent="0.25">
      <c r="A149">
        <v>132</v>
      </c>
      <c r="B149" s="9">
        <f t="shared" si="13"/>
        <v>2.3038346126325151</v>
      </c>
      <c r="D149" s="13">
        <f t="shared" ref="D149:D212" si="15">SIN(B149)*$B$6</f>
        <v>0.43102399877688863</v>
      </c>
      <c r="E149" s="13">
        <f t="shared" ref="E149:E212" si="16">COS(B149)*$B$8</f>
        <v>-0.36802183349737205</v>
      </c>
      <c r="H149" s="13">
        <f t="shared" si="14"/>
        <v>0.16932378169421444</v>
      </c>
      <c r="I149" s="13">
        <f t="shared" ref="I149:I212" si="17">D149*SIN($I$8)+E149*COS($I$8)+$N$8</f>
        <v>0.76878189260708329</v>
      </c>
    </row>
    <row r="150" spans="1:9" x14ac:dyDescent="0.25">
      <c r="A150">
        <v>133</v>
      </c>
      <c r="B150" s="9">
        <f t="shared" ref="B150:B213" si="18">RADIANS(A150)</f>
        <v>2.3212879051524582</v>
      </c>
      <c r="D150" s="13">
        <f t="shared" si="15"/>
        <v>0.42418514693911891</v>
      </c>
      <c r="E150" s="13">
        <f t="shared" si="16"/>
        <v>-0.37509909803437413</v>
      </c>
      <c r="H150" s="13">
        <f t="shared" ref="H150:H213" si="19">D150*COS($I$8)-E150*SIN($I$8)+$N$6</f>
        <v>0.17916520910738085</v>
      </c>
      <c r="I150" s="13">
        <f t="shared" si="17"/>
        <v>0.76884413613726443</v>
      </c>
    </row>
    <row r="151" spans="1:9" x14ac:dyDescent="0.25">
      <c r="A151">
        <v>134</v>
      </c>
      <c r="B151" s="9">
        <f t="shared" si="18"/>
        <v>2.3387411976724017</v>
      </c>
      <c r="D151" s="13">
        <f t="shared" si="15"/>
        <v>0.41721708419641762</v>
      </c>
      <c r="E151" s="13">
        <f t="shared" si="16"/>
        <v>-0.38206210375244859</v>
      </c>
      <c r="H151" s="13">
        <f t="shared" si="19"/>
        <v>0.18901534832818681</v>
      </c>
      <c r="I151" s="13">
        <f t="shared" si="17"/>
        <v>0.76873411638040057</v>
      </c>
    </row>
    <row r="152" spans="1:9" x14ac:dyDescent="0.25">
      <c r="A152">
        <v>135</v>
      </c>
      <c r="B152" s="9">
        <f t="shared" si="18"/>
        <v>2.3561944901923448</v>
      </c>
      <c r="D152" s="13">
        <f t="shared" si="15"/>
        <v>0.41012193308819755</v>
      </c>
      <c r="E152" s="13">
        <f t="shared" si="16"/>
        <v>-0.38890872965260115</v>
      </c>
      <c r="H152" s="13">
        <f t="shared" si="19"/>
        <v>0.19887119890880464</v>
      </c>
      <c r="I152" s="13">
        <f t="shared" si="17"/>
        <v>0.768451866849575</v>
      </c>
    </row>
    <row r="153" spans="1:9" x14ac:dyDescent="0.25">
      <c r="A153">
        <v>136</v>
      </c>
      <c r="B153" s="9">
        <f t="shared" si="18"/>
        <v>2.3736477827122884</v>
      </c>
      <c r="D153" s="13">
        <f t="shared" si="15"/>
        <v>0.40290185486621832</v>
      </c>
      <c r="E153" s="13">
        <f t="shared" si="16"/>
        <v>-0.39563689018625819</v>
      </c>
      <c r="H153" s="13">
        <f t="shared" si="19"/>
        <v>0.20872975866167218</v>
      </c>
      <c r="I153" s="13">
        <f t="shared" si="17"/>
        <v>0.76799747352072922</v>
      </c>
    </row>
    <row r="154" spans="1:9" x14ac:dyDescent="0.25">
      <c r="A154">
        <v>137</v>
      </c>
      <c r="B154" s="9">
        <f t="shared" si="18"/>
        <v>2.3911010752322315</v>
      </c>
      <c r="D154" s="13">
        <f t="shared" si="15"/>
        <v>0.39555904883624915</v>
      </c>
      <c r="E154" s="13">
        <f t="shared" si="16"/>
        <v>-0.40224453589054376</v>
      </c>
      <c r="H154" s="13">
        <f t="shared" si="19"/>
        <v>0.21858802457398621</v>
      </c>
      <c r="I154" s="13">
        <f t="shared" si="17"/>
        <v>0.76737107480647304</v>
      </c>
    </row>
    <row r="155" spans="1:9" x14ac:dyDescent="0.25">
      <c r="A155">
        <v>138</v>
      </c>
      <c r="B155" s="9">
        <f t="shared" si="18"/>
        <v>2.4085543677521746</v>
      </c>
      <c r="D155" s="13">
        <f t="shared" si="15"/>
        <v>0.38809575168813781</v>
      </c>
      <c r="E155" s="13">
        <f t="shared" si="16"/>
        <v>-0.40872965401256672</v>
      </c>
      <c r="H155" s="13">
        <f t="shared" si="19"/>
        <v>0.22844299372245105</v>
      </c>
      <c r="I155" s="13">
        <f t="shared" si="17"/>
        <v>0.76657286151392268</v>
      </c>
    </row>
    <row r="156" spans="1:9" x14ac:dyDescent="0.25">
      <c r="A156">
        <v>139</v>
      </c>
      <c r="B156" s="9">
        <f t="shared" si="18"/>
        <v>2.4260076602721181</v>
      </c>
      <c r="D156" s="13">
        <f t="shared" si="15"/>
        <v>0.3805142368144942</v>
      </c>
      <c r="E156" s="13">
        <f t="shared" si="16"/>
        <v>-0.41509026912252467</v>
      </c>
      <c r="H156" s="13">
        <f t="shared" si="19"/>
        <v>0.23829166418799705</v>
      </c>
      <c r="I156" s="13">
        <f t="shared" si="17"/>
        <v>0.76560307678657979</v>
      </c>
    </row>
    <row r="157" spans="1:9" x14ac:dyDescent="0.25">
      <c r="A157">
        <v>140</v>
      </c>
      <c r="B157" s="9">
        <f t="shared" si="18"/>
        <v>2.4434609527920612</v>
      </c>
      <c r="D157" s="13">
        <f t="shared" si="15"/>
        <v>0.37281681361819285</v>
      </c>
      <c r="E157" s="13">
        <f t="shared" si="16"/>
        <v>-0.42132444371543787</v>
      </c>
      <c r="H157" s="13">
        <f t="shared" si="19"/>
        <v>0.24813103597019345</v>
      </c>
      <c r="I157" s="13">
        <f t="shared" si="17"/>
        <v>0.76446201603026664</v>
      </c>
    </row>
    <row r="158" spans="1:9" x14ac:dyDescent="0.25">
      <c r="A158">
        <v>141</v>
      </c>
      <c r="B158" s="9">
        <f t="shared" si="18"/>
        <v>2.4609142453120048</v>
      </c>
      <c r="D158" s="13">
        <f t="shared" si="15"/>
        <v>0.36500582680890564</v>
      </c>
      <c r="E158" s="13">
        <f t="shared" si="16"/>
        <v>-0.42743027880133405</v>
      </c>
      <c r="H158" s="13">
        <f t="shared" si="19"/>
        <v>0.2579581119010802</v>
      </c>
      <c r="I158" s="13">
        <f t="shared" si="17"/>
        <v>0.76315002682314337</v>
      </c>
    </row>
    <row r="159" spans="1:9" x14ac:dyDescent="0.25">
      <c r="A159">
        <v>142</v>
      </c>
      <c r="B159" s="9">
        <f t="shared" si="18"/>
        <v>2.4783675378319479</v>
      </c>
      <c r="D159" s="13">
        <f t="shared" si="15"/>
        <v>0.35708365568888184</v>
      </c>
      <c r="E159" s="13">
        <f t="shared" si="16"/>
        <v>-0.43340591448369709</v>
      </c>
      <c r="H159" s="13">
        <f t="shared" si="19"/>
        <v>0.26776989855813077</v>
      </c>
      <c r="I159" s="13">
        <f t="shared" si="17"/>
        <v>0.76166750880983192</v>
      </c>
    </row>
    <row r="160" spans="1:9" x14ac:dyDescent="0.25">
      <c r="A160">
        <v>143</v>
      </c>
      <c r="B160" s="9">
        <f t="shared" si="18"/>
        <v>2.4958208303518914</v>
      </c>
      <c r="D160" s="13">
        <f t="shared" si="15"/>
        <v>0.34905271342818789</v>
      </c>
      <c r="E160" s="13">
        <f t="shared" si="16"/>
        <v>-0.43924953052601118</v>
      </c>
      <c r="H160" s="13">
        <f t="shared" si="19"/>
        <v>0.27756340717608141</v>
      </c>
      <c r="I160" s="13">
        <f t="shared" si="17"/>
        <v>0.76001491357968076</v>
      </c>
    </row>
    <row r="161" spans="1:9" x14ac:dyDescent="0.25">
      <c r="A161">
        <v>144</v>
      </c>
      <c r="B161" s="9">
        <f t="shared" si="18"/>
        <v>2.5132741228718345</v>
      </c>
      <c r="D161" s="13">
        <f t="shared" si="15"/>
        <v>0.34091544632963444</v>
      </c>
      <c r="E161" s="13">
        <f t="shared" si="16"/>
        <v>-0.44495934690622108</v>
      </c>
      <c r="H161" s="13">
        <f t="shared" si="19"/>
        <v>0.28733565455733434</v>
      </c>
      <c r="I161" s="13">
        <f t="shared" si="17"/>
        <v>0.75819274452920604</v>
      </c>
    </row>
    <row r="162" spans="1:9" x14ac:dyDescent="0.25">
      <c r="A162">
        <v>145</v>
      </c>
      <c r="B162" s="9">
        <f t="shared" si="18"/>
        <v>2.530727415391778</v>
      </c>
      <c r="D162" s="13">
        <f t="shared" si="15"/>
        <v>0.33267433308360661</v>
      </c>
      <c r="E162" s="13">
        <f t="shared" si="16"/>
        <v>-0.45053362435894556</v>
      </c>
      <c r="H162" s="13">
        <f t="shared" si="19"/>
        <v>0.29708366398067221</v>
      </c>
      <c r="I162" s="13">
        <f t="shared" si="17"/>
        <v>0.756201556708752</v>
      </c>
    </row>
    <row r="163" spans="1:9" x14ac:dyDescent="0.25">
      <c r="A163">
        <v>146</v>
      </c>
      <c r="B163" s="9">
        <f t="shared" si="18"/>
        <v>2.5481807079117211</v>
      </c>
      <c r="D163" s="13">
        <f t="shared" si="15"/>
        <v>0.3243318840130332</v>
      </c>
      <c r="E163" s="13">
        <f t="shared" si="16"/>
        <v>-0.45597066490527294</v>
      </c>
      <c r="H163" s="13">
        <f t="shared" si="19"/>
        <v>0.30680446610799283</v>
      </c>
      <c r="I163" s="13">
        <f t="shared" si="17"/>
        <v>0.75404195665341822</v>
      </c>
    </row>
    <row r="164" spans="1:9" x14ac:dyDescent="0.25">
      <c r="A164">
        <v>147</v>
      </c>
      <c r="B164" s="9">
        <f t="shared" si="18"/>
        <v>2.5656340004316642</v>
      </c>
      <c r="D164" s="13">
        <f t="shared" si="15"/>
        <v>0.31589064030871583</v>
      </c>
      <c r="E164" s="13">
        <f t="shared" si="16"/>
        <v>-0.46126881236998318</v>
      </c>
      <c r="H164" s="13">
        <f t="shared" si="19"/>
        <v>0.31649509988880109</v>
      </c>
      <c r="I164" s="13">
        <f t="shared" si="17"/>
        <v>0.75171460219830188</v>
      </c>
    </row>
    <row r="165" spans="1:9" x14ac:dyDescent="0.25">
      <c r="A165">
        <v>148</v>
      </c>
      <c r="B165" s="9">
        <f t="shared" si="18"/>
        <v>2.5830872929516078</v>
      </c>
      <c r="D165" s="13">
        <f t="shared" si="15"/>
        <v>0.30735317325525879</v>
      </c>
      <c r="E165" s="13">
        <f t="shared" si="16"/>
        <v>-0.46642645288603429</v>
      </c>
      <c r="H165" s="13">
        <f t="shared" si="19"/>
        <v>0.32615261346217239</v>
      </c>
      <c r="I165" s="13">
        <f t="shared" si="17"/>
        <v>0.74922020227811537</v>
      </c>
    </row>
    <row r="166" spans="1:9" x14ac:dyDescent="0.25">
      <c r="A166">
        <v>149</v>
      </c>
      <c r="B166" s="9">
        <f t="shared" si="18"/>
        <v>2.6005405854715509</v>
      </c>
      <c r="D166" s="13">
        <f t="shared" si="15"/>
        <v>0.29872208344783152</v>
      </c>
      <c r="E166" s="13">
        <f t="shared" si="16"/>
        <v>-0.47144201538616176</v>
      </c>
      <c r="H166" s="13">
        <f t="shared" si="19"/>
        <v>0.33577406505591717</v>
      </c>
      <c r="I166" s="13">
        <f t="shared" si="17"/>
        <v>0.74655951671123877</v>
      </c>
    </row>
    <row r="167" spans="1:9" x14ac:dyDescent="0.25">
      <c r="A167">
        <v>150</v>
      </c>
      <c r="B167" s="9">
        <f t="shared" si="18"/>
        <v>2.6179938779914944</v>
      </c>
      <c r="D167" s="13">
        <f t="shared" si="15"/>
        <v>0.28999999999999992</v>
      </c>
      <c r="E167" s="13">
        <f t="shared" si="16"/>
        <v>-0.47631397208144133</v>
      </c>
      <c r="H167" s="13">
        <f t="shared" si="19"/>
        <v>0.34535652388267546</v>
      </c>
      <c r="I167" s="13">
        <f t="shared" si="17"/>
        <v>0.74373335596826973</v>
      </c>
    </row>
    <row r="168" spans="1:9" x14ac:dyDescent="0.25">
      <c r="A168">
        <v>151</v>
      </c>
      <c r="B168" s="9">
        <f t="shared" si="18"/>
        <v>2.6354471705114375</v>
      </c>
      <c r="D168" s="13">
        <f t="shared" si="15"/>
        <v>0.28118957974287556</v>
      </c>
      <c r="E168" s="13">
        <f t="shared" si="16"/>
        <v>-0.48104083892666771</v>
      </c>
      <c r="H168" s="13">
        <f t="shared" si="19"/>
        <v>0.35489707103266077</v>
      </c>
      <c r="I168" s="13">
        <f t="shared" si="17"/>
        <v>0.74074258092514866</v>
      </c>
    </row>
    <row r="169" spans="1:9" x14ac:dyDescent="0.25">
      <c r="A169">
        <v>152</v>
      </c>
      <c r="B169" s="9">
        <f t="shared" si="18"/>
        <v>2.6529004630313811</v>
      </c>
      <c r="D169" s="13">
        <f t="shared" si="15"/>
        <v>0.27229350641581657</v>
      </c>
      <c r="E169" s="13">
        <f t="shared" si="16"/>
        <v>-0.4856211760724099</v>
      </c>
      <c r="H169" s="13">
        <f t="shared" si="19"/>
        <v>0.36439280036279031</v>
      </c>
      <c r="I169" s="13">
        <f t="shared" si="17"/>
        <v>0.73758810260092567</v>
      </c>
    </row>
    <row r="170" spans="1:9" x14ac:dyDescent="0.25">
      <c r="A170">
        <v>153</v>
      </c>
      <c r="B170" s="9">
        <f t="shared" si="18"/>
        <v>2.6703537555513241</v>
      </c>
      <c r="D170" s="13">
        <f t="shared" si="15"/>
        <v>0.26331448984893718</v>
      </c>
      <c r="E170" s="13">
        <f t="shared" si="16"/>
        <v>-0.49005358830360235</v>
      </c>
      <c r="H170" s="13">
        <f t="shared" si="19"/>
        <v>0.37384081938192248</v>
      </c>
      <c r="I170" s="13">
        <f t="shared" si="17"/>
        <v>0.73427088188025669</v>
      </c>
    </row>
    <row r="171" spans="1:9" x14ac:dyDescent="0.25">
      <c r="A171">
        <v>154</v>
      </c>
      <c r="B171" s="9">
        <f t="shared" si="18"/>
        <v>2.6878070480712677</v>
      </c>
      <c r="D171" s="13">
        <f t="shared" si="15"/>
        <v>0.25425526513766483</v>
      </c>
      <c r="E171" s="13">
        <f t="shared" si="16"/>
        <v>-0.49433672546454194</v>
      </c>
      <c r="H171" s="13">
        <f t="shared" si="19"/>
        <v>0.38323825013193957</v>
      </c>
      <c r="I171" s="13">
        <f t="shared" si="17"/>
        <v>0.73079192922070768</v>
      </c>
    </row>
    <row r="172" spans="1:9" x14ac:dyDescent="0.25">
      <c r="A172">
        <v>155</v>
      </c>
      <c r="B172" s="9">
        <f t="shared" si="18"/>
        <v>2.7052603405912108</v>
      </c>
      <c r="D172" s="13">
        <f t="shared" si="15"/>
        <v>0.24511859180960568</v>
      </c>
      <c r="E172" s="13">
        <f t="shared" si="16"/>
        <v>-0.49846928287015752</v>
      </c>
      <c r="H172" s="13">
        <f t="shared" si="19"/>
        <v>0.39258223006439957</v>
      </c>
      <c r="I172" s="13">
        <f t="shared" si="17"/>
        <v>0.72715230434496014</v>
      </c>
    </row>
    <row r="173" spans="1:9" x14ac:dyDescent="0.25">
      <c r="A173">
        <v>156</v>
      </c>
      <c r="B173" s="9">
        <f t="shared" si="18"/>
        <v>2.7227136331111539</v>
      </c>
      <c r="D173" s="13">
        <f t="shared" si="15"/>
        <v>0.23590725298396423</v>
      </c>
      <c r="E173" s="13">
        <f t="shared" si="16"/>
        <v>-0.50245000170343046</v>
      </c>
      <c r="H173" s="13">
        <f t="shared" si="19"/>
        <v>0.40186991291249818</v>
      </c>
      <c r="I173" s="13">
        <f t="shared" si="17"/>
        <v>0.72335311591800933</v>
      </c>
    </row>
    <row r="174" spans="1:9" x14ac:dyDescent="0.25">
      <c r="A174">
        <v>157</v>
      </c>
      <c r="B174" s="9">
        <f t="shared" si="18"/>
        <v>2.7401669256310974</v>
      </c>
      <c r="D174" s="13">
        <f t="shared" si="15"/>
        <v>0.22662405452377876</v>
      </c>
      <c r="E174" s="13">
        <f t="shared" si="16"/>
        <v>-0.50627766939884222</v>
      </c>
      <c r="H174" s="13">
        <f t="shared" si="19"/>
        <v>0.41109846955806839</v>
      </c>
      <c r="I174" s="13">
        <f t="shared" si="17"/>
        <v>0.71939552120945316</v>
      </c>
    </row>
    <row r="175" spans="1:9" x14ac:dyDescent="0.25">
      <c r="A175">
        <v>158</v>
      </c>
      <c r="B175" s="9">
        <f t="shared" si="18"/>
        <v>2.7576202181510405</v>
      </c>
      <c r="D175" s="13">
        <f t="shared" si="15"/>
        <v>0.21727182418122909</v>
      </c>
      <c r="E175" s="13">
        <f t="shared" si="16"/>
        <v>-0.50995112001173304</v>
      </c>
      <c r="H175" s="13">
        <f t="shared" si="19"/>
        <v>0.42026508889335634</v>
      </c>
      <c r="I175" s="13">
        <f t="shared" si="17"/>
        <v>0.71528072574097834</v>
      </c>
    </row>
    <row r="176" spans="1:9" x14ac:dyDescent="0.25">
      <c r="A176">
        <v>159</v>
      </c>
      <c r="B176" s="9">
        <f t="shared" si="18"/>
        <v>2.7750735106709841</v>
      </c>
      <c r="D176" s="13">
        <f t="shared" si="15"/>
        <v>0.20785341073627411</v>
      </c>
      <c r="E176" s="13">
        <f t="shared" si="16"/>
        <v>-0.51346923457346105</v>
      </c>
      <c r="H176" s="13">
        <f t="shared" si="19"/>
        <v>0.42936697867731399</v>
      </c>
      <c r="I176" s="13">
        <f t="shared" si="17"/>
        <v>0.71100998291914541</v>
      </c>
    </row>
    <row r="177" spans="1:9" x14ac:dyDescent="0.25">
      <c r="A177">
        <v>160</v>
      </c>
      <c r="B177" s="9">
        <f t="shared" si="18"/>
        <v>2.7925268031909272</v>
      </c>
      <c r="D177" s="13">
        <f t="shared" si="15"/>
        <v>0.19837168312888795</v>
      </c>
      <c r="E177" s="13">
        <f t="shared" si="16"/>
        <v>-0.51683094143224961</v>
      </c>
      <c r="H177" s="13">
        <f t="shared" si="19"/>
        <v>0.43840136638614063</v>
      </c>
      <c r="I177" s="13">
        <f t="shared" si="17"/>
        <v>0.7065845936535895</v>
      </c>
    </row>
    <row r="178" spans="1:9" x14ac:dyDescent="0.25">
      <c r="A178">
        <v>161</v>
      </c>
      <c r="B178" s="9">
        <f t="shared" si="18"/>
        <v>2.8099800957108707</v>
      </c>
      <c r="D178" s="13">
        <f t="shared" si="15"/>
        <v>0.18882952958515081</v>
      </c>
      <c r="E178" s="13">
        <f t="shared" si="16"/>
        <v>-0.52003521657962426</v>
      </c>
      <c r="H178" s="13">
        <f t="shared" si="19"/>
        <v>0.44736550005782255</v>
      </c>
      <c r="I178" s="13">
        <f t="shared" si="17"/>
        <v>0.70200590596075041</v>
      </c>
    </row>
    <row r="179" spans="1:9" x14ac:dyDescent="0.25">
      <c r="A179">
        <v>162</v>
      </c>
      <c r="B179" s="9">
        <f t="shared" si="18"/>
        <v>2.8274333882308138</v>
      </c>
      <c r="D179" s="13">
        <f t="shared" si="15"/>
        <v>0.17922985673746955</v>
      </c>
      <c r="E179" s="13">
        <f t="shared" si="16"/>
        <v>-0.52308108396233444</v>
      </c>
      <c r="H179" s="13">
        <f t="shared" si="19"/>
        <v>0.45625664913040548</v>
      </c>
      <c r="I179" s="13">
        <f t="shared" si="17"/>
        <v>0.69727531455325442</v>
      </c>
    </row>
    <row r="180" spans="1:9" x14ac:dyDescent="0.25">
      <c r="A180">
        <v>163</v>
      </c>
      <c r="B180" s="9">
        <f t="shared" si="18"/>
        <v>2.8448866807507573</v>
      </c>
      <c r="D180" s="13">
        <f t="shared" si="15"/>
        <v>0.16957558873918721</v>
      </c>
      <c r="E180" s="13">
        <f t="shared" si="16"/>
        <v>-0.52596761577966955</v>
      </c>
      <c r="H180" s="13">
        <f t="shared" si="19"/>
        <v>0.46507210527375187</v>
      </c>
      <c r="I180" s="13">
        <f t="shared" si="17"/>
        <v>0.69239426041507035</v>
      </c>
    </row>
    <row r="181" spans="1:9" x14ac:dyDescent="0.25">
      <c r="A181">
        <v>164</v>
      </c>
      <c r="B181" s="9">
        <f t="shared" si="18"/>
        <v>2.8623399732707004</v>
      </c>
      <c r="D181" s="13">
        <f t="shared" si="15"/>
        <v>0.15986966637385955</v>
      </c>
      <c r="E181" s="13">
        <f t="shared" si="16"/>
        <v>-0.52869393276607546</v>
      </c>
      <c r="H181" s="13">
        <f t="shared" si="19"/>
        <v>0.47380918321452259</v>
      </c>
      <c r="I181" s="13">
        <f t="shared" si="17"/>
        <v>0.68736423036257266</v>
      </c>
    </row>
    <row r="182" spans="1:9" x14ac:dyDescent="0.25">
      <c r="A182">
        <v>165</v>
      </c>
      <c r="B182" s="9">
        <f t="shared" si="18"/>
        <v>2.8797932657906435</v>
      </c>
      <c r="D182" s="13">
        <f t="shared" si="15"/>
        <v>0.15011504615946217</v>
      </c>
      <c r="E182" s="13">
        <f t="shared" si="16"/>
        <v>-0.53125920445898756</v>
      </c>
      <c r="H182" s="13">
        <f t="shared" si="19"/>
        <v>0.48246522155413929</v>
      </c>
      <c r="I182" s="13">
        <f t="shared" si="17"/>
        <v>0.68218675659164218</v>
      </c>
    </row>
    <row r="183" spans="1:9" x14ac:dyDescent="0.25">
      <c r="A183">
        <v>166</v>
      </c>
      <c r="B183" s="9">
        <f t="shared" si="18"/>
        <v>2.8972465583105871</v>
      </c>
      <c r="D183" s="13">
        <f t="shared" si="15"/>
        <v>0.14031469944780728</v>
      </c>
      <c r="E183" s="13">
        <f t="shared" si="16"/>
        <v>-0.53366264945179809</v>
      </c>
      <c r="H183" s="13">
        <f t="shared" si="19"/>
        <v>0.49103758357947092</v>
      </c>
      <c r="I183" s="13">
        <f t="shared" si="17"/>
        <v>0.67686341621094481</v>
      </c>
    </row>
    <row r="184" spans="1:9" x14ac:dyDescent="0.25">
      <c r="A184">
        <v>167</v>
      </c>
      <c r="B184" s="9">
        <f t="shared" si="18"/>
        <v>2.9146998508305302</v>
      </c>
      <c r="D184" s="13">
        <f t="shared" si="15"/>
        <v>0.13047161151944181</v>
      </c>
      <c r="E184" s="13">
        <f t="shared" si="16"/>
        <v>-0.53590353563187931</v>
      </c>
      <c r="H184" s="13">
        <f t="shared" si="19"/>
        <v>0.49952365806600174</v>
      </c>
      <c r="I184" s="13">
        <f t="shared" si="17"/>
        <v>0.67139583076152909</v>
      </c>
    </row>
    <row r="185" spans="1:9" x14ac:dyDescent="0.25">
      <c r="A185">
        <v>168</v>
      </c>
      <c r="B185" s="9">
        <f t="shared" si="18"/>
        <v>2.9321531433504737</v>
      </c>
      <c r="D185" s="13">
        <f t="shared" si="15"/>
        <v>0.1205887806743004</v>
      </c>
      <c r="E185" s="13">
        <f t="shared" si="16"/>
        <v>-0.53798118040359322</v>
      </c>
      <c r="H185" s="13">
        <f t="shared" si="19"/>
        <v>0.50792086007323745</v>
      </c>
      <c r="I185" s="13">
        <f t="shared" si="17"/>
        <v>0.66578566572288855</v>
      </c>
    </row>
    <row r="186" spans="1:9" x14ac:dyDescent="0.25">
      <c r="A186">
        <v>169</v>
      </c>
      <c r="B186" s="9">
        <f t="shared" si="18"/>
        <v>2.9496064358704168</v>
      </c>
      <c r="D186" s="13">
        <f t="shared" si="15"/>
        <v>0.11066921731839607</v>
      </c>
      <c r="E186" s="13">
        <f t="shared" si="16"/>
        <v>-0.5398949508962152</v>
      </c>
      <c r="H186" s="13">
        <f t="shared" si="19"/>
        <v>0.51622663173210026</v>
      </c>
      <c r="I186" s="13">
        <f t="shared" si="17"/>
        <v>0.66003463000564067</v>
      </c>
    </row>
    <row r="187" spans="1:9" x14ac:dyDescent="0.25">
      <c r="A187">
        <v>170</v>
      </c>
      <c r="B187" s="9">
        <f t="shared" si="18"/>
        <v>2.9670597283903604</v>
      </c>
      <c r="D187" s="13">
        <f t="shared" si="15"/>
        <v>0.10071594304681955</v>
      </c>
      <c r="E187" s="13">
        <f t="shared" si="16"/>
        <v>-0.54164426415671441</v>
      </c>
      <c r="H187" s="13">
        <f t="shared" si="19"/>
        <v>0.52443844302408382</v>
      </c>
      <c r="I187" s="13">
        <f t="shared" si="17"/>
        <v>0.65414447543097642</v>
      </c>
    </row>
    <row r="188" spans="1:9" x14ac:dyDescent="0.25">
      <c r="A188">
        <v>171</v>
      </c>
      <c r="B188" s="9">
        <f t="shared" si="18"/>
        <v>2.9845130209103035</v>
      </c>
      <c r="D188" s="13">
        <f t="shared" si="15"/>
        <v>9.0731989723333961E-2</v>
      </c>
      <c r="E188" s="13">
        <f t="shared" si="16"/>
        <v>-0.54322858732732571</v>
      </c>
      <c r="H188" s="13">
        <f t="shared" si="19"/>
        <v>0.53255379255191848</v>
      </c>
      <c r="I188" s="13">
        <f t="shared" si="17"/>
        <v>0.64811699619703889</v>
      </c>
    </row>
    <row r="189" spans="1:9" x14ac:dyDescent="0.25">
      <c r="A189">
        <v>172</v>
      </c>
      <c r="B189" s="9">
        <f t="shared" si="18"/>
        <v>3.001966313430247</v>
      </c>
      <c r="D189" s="13">
        <f t="shared" si="15"/>
        <v>8.072039855683788E-2</v>
      </c>
      <c r="E189" s="13">
        <f t="shared" si="16"/>
        <v>-0.54464743780786373</v>
      </c>
      <c r="H189" s="13">
        <f t="shared" si="19"/>
        <v>0.54057020830152325</v>
      </c>
      <c r="I189" s="13">
        <f t="shared" si="17"/>
        <v>0.64195402833239168</v>
      </c>
    </row>
    <row r="190" spans="1:9" x14ac:dyDescent="0.25">
      <c r="A190">
        <v>173</v>
      </c>
      <c r="B190" s="9">
        <f t="shared" si="18"/>
        <v>3.0194196059501901</v>
      </c>
      <c r="D190" s="13">
        <f t="shared" si="15"/>
        <v>7.0684219174985574E-2</v>
      </c>
      <c r="E190" s="13">
        <f t="shared" si="16"/>
        <v>-0.54590038340272717</v>
      </c>
      <c r="H190" s="13">
        <f t="shared" si="19"/>
        <v>0.54848524839500379</v>
      </c>
      <c r="I190" s="13">
        <f t="shared" si="17"/>
        <v>0.63565744913674893</v>
      </c>
    </row>
    <row r="191" spans="1:9" x14ac:dyDescent="0.25">
      <c r="A191">
        <v>174</v>
      </c>
      <c r="B191" s="9">
        <f t="shared" si="18"/>
        <v>3.0368728984701332</v>
      </c>
      <c r="D191" s="13">
        <f t="shared" si="15"/>
        <v>6.062650869523916E-2</v>
      </c>
      <c r="E191" s="13">
        <f t="shared" si="16"/>
        <v>-0.54698704245255036</v>
      </c>
      <c r="H191" s="13">
        <f t="shared" si="19"/>
        <v>0.55629650183447288</v>
      </c>
      <c r="I191" s="13">
        <f t="shared" si="17"/>
        <v>0.62922917660912958</v>
      </c>
    </row>
    <row r="192" spans="1:9" x14ac:dyDescent="0.25">
      <c r="A192">
        <v>175</v>
      </c>
      <c r="B192" s="9">
        <f t="shared" si="18"/>
        <v>3.0543261909900767</v>
      </c>
      <c r="D192" s="13">
        <f t="shared" si="15"/>
        <v>5.0550330793641747E-2</v>
      </c>
      <c r="E192" s="13">
        <f t="shared" si="16"/>
        <v>-0.54790708395046006</v>
      </c>
      <c r="H192" s="13">
        <f t="shared" si="19"/>
        <v>0.56400158923646382</v>
      </c>
      <c r="I192" s="13">
        <f t="shared" si="17"/>
        <v>0.62267116886361751</v>
      </c>
    </row>
    <row r="193" spans="1:9" x14ac:dyDescent="0.25">
      <c r="A193">
        <v>176</v>
      </c>
      <c r="B193" s="9">
        <f t="shared" si="18"/>
        <v>3.0717794835100198</v>
      </c>
      <c r="D193" s="13">
        <f t="shared" si="15"/>
        <v>4.0458754771592803E-2</v>
      </c>
      <c r="E193" s="13">
        <f t="shared" si="16"/>
        <v>-0.54866022764290334</v>
      </c>
      <c r="H193" s="13">
        <f t="shared" si="19"/>
        <v>0.57159816355671278</v>
      </c>
      <c r="I193" s="13">
        <f t="shared" si="17"/>
        <v>0.61598542353290131</v>
      </c>
    </row>
    <row r="194" spans="1:9" x14ac:dyDescent="0.25">
      <c r="A194">
        <v>177</v>
      </c>
      <c r="B194" s="9">
        <f t="shared" si="18"/>
        <v>3.0892327760299634</v>
      </c>
      <c r="D194" s="13">
        <f t="shared" si="15"/>
        <v>3.0354854620907406E-2</v>
      </c>
      <c r="E194" s="13">
        <f t="shared" si="16"/>
        <v>-0.54924624411501566</v>
      </c>
      <c r="H194" s="13">
        <f t="shared" si="19"/>
        <v>0.57908391080509258</v>
      </c>
      <c r="I194" s="13">
        <f t="shared" si="17"/>
        <v>0.6091739771597745</v>
      </c>
    </row>
    <row r="195" spans="1:9" x14ac:dyDescent="0.25">
      <c r="A195">
        <v>178</v>
      </c>
      <c r="B195" s="9">
        <f t="shared" si="18"/>
        <v>3.1066860685499065</v>
      </c>
      <c r="D195" s="13">
        <f t="shared" si="15"/>
        <v>2.0241708087450662E-2</v>
      </c>
      <c r="E195" s="13">
        <f t="shared" si="16"/>
        <v>-0.54966495486050271</v>
      </c>
      <c r="H195" s="13">
        <f t="shared" si="19"/>
        <v>0.58645655075047487</v>
      </c>
      <c r="I195" s="13">
        <f t="shared" si="17"/>
        <v>0.60223890457678675</v>
      </c>
    </row>
    <row r="196" spans="1:9" x14ac:dyDescent="0.25">
      <c r="A196">
        <v>179</v>
      </c>
      <c r="B196" s="9">
        <f t="shared" si="18"/>
        <v>3.12413936106985</v>
      </c>
      <c r="D196" s="13">
        <f t="shared" si="15"/>
        <v>1.0122395733624393E-2</v>
      </c>
      <c r="E196" s="13">
        <f t="shared" si="16"/>
        <v>-0.54991623233601528</v>
      </c>
      <c r="H196" s="13">
        <f t="shared" si="19"/>
        <v>0.59371383761531216</v>
      </c>
      <c r="I196" s="13">
        <f t="shared" si="17"/>
        <v>0.59518231827422796</v>
      </c>
    </row>
    <row r="197" spans="1:9" x14ac:dyDescent="0.25">
      <c r="A197">
        <v>180</v>
      </c>
      <c r="B197" s="9">
        <f t="shared" si="18"/>
        <v>3.1415926535897931</v>
      </c>
      <c r="D197" s="13">
        <f t="shared" si="15"/>
        <v>7.1058610384699958E-17</v>
      </c>
      <c r="E197" s="13">
        <f t="shared" si="16"/>
        <v>-0.55000000000000004</v>
      </c>
      <c r="H197" s="13">
        <f t="shared" si="19"/>
        <v>0.60085356075972229</v>
      </c>
      <c r="I197" s="13">
        <f t="shared" si="17"/>
        <v>0.58800636775664494</v>
      </c>
    </row>
    <row r="198" spans="1:9" x14ac:dyDescent="0.25">
      <c r="A198">
        <v>181</v>
      </c>
      <c r="B198" s="9">
        <f t="shared" si="18"/>
        <v>3.1590459461097367</v>
      </c>
      <c r="D198" s="13">
        <f t="shared" si="15"/>
        <v>-1.0122395733624508E-2</v>
      </c>
      <c r="E198" s="13">
        <f t="shared" si="16"/>
        <v>-0.54991623233601528</v>
      </c>
      <c r="H198" s="13">
        <f t="shared" si="19"/>
        <v>0.6078735453548717</v>
      </c>
      <c r="I198" s="13">
        <f t="shared" si="17"/>
        <v>0.58071323888808002</v>
      </c>
    </row>
    <row r="199" spans="1:9" x14ac:dyDescent="0.25">
      <c r="A199">
        <v>182</v>
      </c>
      <c r="B199" s="9">
        <f t="shared" si="18"/>
        <v>3.1764992386296798</v>
      </c>
      <c r="D199" s="13">
        <f t="shared" si="15"/>
        <v>-2.024170808745052E-2</v>
      </c>
      <c r="E199" s="13">
        <f t="shared" si="16"/>
        <v>-0.54966495486050271</v>
      </c>
      <c r="H199" s="13">
        <f t="shared" si="19"/>
        <v>0.61477165304544834</v>
      </c>
      <c r="I199" s="13">
        <f t="shared" si="17"/>
        <v>0.5733051532262371</v>
      </c>
    </row>
    <row r="200" spans="1:9" x14ac:dyDescent="0.25">
      <c r="A200">
        <v>183</v>
      </c>
      <c r="B200" s="9">
        <f t="shared" si="18"/>
        <v>3.1939525311496229</v>
      </c>
      <c r="D200" s="13">
        <f t="shared" si="15"/>
        <v>-3.035485462090726E-2</v>
      </c>
      <c r="E200" s="13">
        <f t="shared" si="16"/>
        <v>-0.54924624411501566</v>
      </c>
      <c r="H200" s="13">
        <f t="shared" si="19"/>
        <v>0.62154578260102633</v>
      </c>
      <c r="I200" s="13">
        <f t="shared" si="17"/>
        <v>0.5657843673457722</v>
      </c>
    </row>
    <row r="201" spans="1:9" x14ac:dyDescent="0.25">
      <c r="A201">
        <v>184</v>
      </c>
      <c r="B201" s="9">
        <f t="shared" si="18"/>
        <v>3.2114058236695664</v>
      </c>
      <c r="D201" s="13">
        <f t="shared" si="15"/>
        <v>-4.0458754771592657E-2</v>
      </c>
      <c r="E201" s="13">
        <f t="shared" si="16"/>
        <v>-0.54866022764290334</v>
      </c>
      <c r="H201" s="13">
        <f t="shared" si="19"/>
        <v>0.62819387055612064</v>
      </c>
      <c r="I201" s="13">
        <f t="shared" si="17"/>
        <v>0.55815317215091986</v>
      </c>
    </row>
    <row r="202" spans="1:9" x14ac:dyDescent="0.25">
      <c r="A202">
        <v>185</v>
      </c>
      <c r="B202" s="9">
        <f t="shared" si="18"/>
        <v>3.2288591161895095</v>
      </c>
      <c r="D202" s="13">
        <f t="shared" si="15"/>
        <v>-5.0550330793641601E-2</v>
      </c>
      <c r="E202" s="13">
        <f t="shared" si="16"/>
        <v>-0.54790708395046006</v>
      </c>
      <c r="H202" s="13">
        <f t="shared" si="19"/>
        <v>0.63471389183873839</v>
      </c>
      <c r="I202" s="13">
        <f t="shared" si="17"/>
        <v>0.55041389217766201</v>
      </c>
    </row>
    <row r="203" spans="1:9" x14ac:dyDescent="0.25">
      <c r="A203">
        <v>186</v>
      </c>
      <c r="B203" s="9">
        <f t="shared" si="18"/>
        <v>3.246312408709453</v>
      </c>
      <c r="D203" s="13">
        <f t="shared" si="15"/>
        <v>-6.0626508695239022E-2</v>
      </c>
      <c r="E203" s="13">
        <f t="shared" si="16"/>
        <v>-0.54698704245255036</v>
      </c>
      <c r="H203" s="13">
        <f t="shared" si="19"/>
        <v>0.64110386038723643</v>
      </c>
      <c r="I203" s="13">
        <f t="shared" si="17"/>
        <v>0.54256888488564992</v>
      </c>
    </row>
    <row r="204" spans="1:9" x14ac:dyDescent="0.25">
      <c r="A204">
        <v>187</v>
      </c>
      <c r="B204" s="9">
        <f t="shared" si="18"/>
        <v>3.2637657012293961</v>
      </c>
      <c r="D204" s="13">
        <f t="shared" si="15"/>
        <v>-7.0684219174985435E-2</v>
      </c>
      <c r="E204" s="13">
        <f t="shared" si="16"/>
        <v>-0.54590038340272717</v>
      </c>
      <c r="H204" s="13">
        <f t="shared" si="19"/>
        <v>0.64736182975529355</v>
      </c>
      <c r="I204" s="13">
        <f t="shared" si="17"/>
        <v>0.53462053994010161</v>
      </c>
    </row>
    <row r="205" spans="1:9" x14ac:dyDescent="0.25">
      <c r="A205">
        <v>188</v>
      </c>
      <c r="B205" s="9">
        <f t="shared" si="18"/>
        <v>3.2812189937493397</v>
      </c>
      <c r="D205" s="13">
        <f t="shared" si="15"/>
        <v>-8.0720398556837991E-2</v>
      </c>
      <c r="E205" s="13">
        <f t="shared" si="16"/>
        <v>-0.54464743780786373</v>
      </c>
      <c r="H205" s="13">
        <f t="shared" si="19"/>
        <v>0.65348589370481813</v>
      </c>
      <c r="I205" s="13">
        <f t="shared" si="17"/>
        <v>0.52657127848388452</v>
      </c>
    </row>
    <row r="206" spans="1:9" x14ac:dyDescent="0.25">
      <c r="A206">
        <v>189</v>
      </c>
      <c r="B206" s="9">
        <f t="shared" si="18"/>
        <v>3.2986722862692828</v>
      </c>
      <c r="D206" s="13">
        <f t="shared" si="15"/>
        <v>-9.0731989723333822E-2</v>
      </c>
      <c r="E206" s="13">
        <f t="shared" si="16"/>
        <v>-0.54322858732732582</v>
      </c>
      <c r="H206" s="13">
        <f t="shared" si="19"/>
        <v>0.65947418678660574</v>
      </c>
      <c r="I206" s="13">
        <f t="shared" si="17"/>
        <v>0.51842355240001337</v>
      </c>
    </row>
    <row r="207" spans="1:9" x14ac:dyDescent="0.25">
      <c r="A207">
        <v>190</v>
      </c>
      <c r="B207" s="9">
        <f t="shared" si="18"/>
        <v>3.3161255787892263</v>
      </c>
      <c r="D207" s="13">
        <f t="shared" si="15"/>
        <v>-0.10071594304681966</v>
      </c>
      <c r="E207" s="13">
        <f t="shared" si="16"/>
        <v>-0.54164426415671441</v>
      </c>
      <c r="H207" s="13">
        <f t="shared" si="19"/>
        <v>0.66532488490857411</v>
      </c>
      <c r="I207" s="13">
        <f t="shared" si="17"/>
        <v>0.51017984356478174</v>
      </c>
    </row>
    <row r="208" spans="1:9" x14ac:dyDescent="0.25">
      <c r="A208">
        <v>191</v>
      </c>
      <c r="B208" s="9">
        <f t="shared" si="18"/>
        <v>3.3335788713091694</v>
      </c>
      <c r="D208" s="13">
        <f t="shared" si="15"/>
        <v>-0.11066921731839593</v>
      </c>
      <c r="E208" s="13">
        <f t="shared" si="16"/>
        <v>-0.5398949508962152</v>
      </c>
      <c r="H208" s="13">
        <f t="shared" si="19"/>
        <v>0.67103620589139801</v>
      </c>
      <c r="I208" s="13">
        <f t="shared" si="17"/>
        <v>0.50184266309175996</v>
      </c>
    </row>
    <row r="209" spans="1:9" x14ac:dyDescent="0.25">
      <c r="A209">
        <v>192</v>
      </c>
      <c r="B209" s="9">
        <f t="shared" si="18"/>
        <v>3.351032163829113</v>
      </c>
      <c r="D209" s="13">
        <f t="shared" si="15"/>
        <v>-0.12058878067430051</v>
      </c>
      <c r="E209" s="13">
        <f t="shared" si="16"/>
        <v>-0.53798118040359311</v>
      </c>
      <c r="H209" s="13">
        <f t="shared" si="19"/>
        <v>0.67660641001137967</v>
      </c>
      <c r="I209" s="13">
        <f t="shared" si="17"/>
        <v>0.49341455056688366</v>
      </c>
    </row>
    <row r="210" spans="1:9" x14ac:dyDescent="0.25">
      <c r="A210">
        <v>193</v>
      </c>
      <c r="B210" s="9">
        <f t="shared" si="18"/>
        <v>3.3684854563490561</v>
      </c>
      <c r="D210" s="13">
        <f t="shared" si="15"/>
        <v>-0.13047161151944167</v>
      </c>
      <c r="E210" s="13">
        <f t="shared" si="16"/>
        <v>-0.53590353563187942</v>
      </c>
      <c r="H210" s="13">
        <f t="shared" si="19"/>
        <v>0.68203380053038376</v>
      </c>
      <c r="I210" s="13">
        <f t="shared" si="17"/>
        <v>0.48489807327487339</v>
      </c>
    </row>
    <row r="211" spans="1:9" x14ac:dyDescent="0.25">
      <c r="A211">
        <v>194</v>
      </c>
      <c r="B211" s="9">
        <f t="shared" si="18"/>
        <v>3.3859387488689991</v>
      </c>
      <c r="D211" s="13">
        <f t="shared" si="15"/>
        <v>-0.14031469944780714</v>
      </c>
      <c r="E211" s="13">
        <f t="shared" si="16"/>
        <v>-0.53366264945179809</v>
      </c>
      <c r="H211" s="13">
        <f t="shared" si="19"/>
        <v>0.68731672421268231</v>
      </c>
      <c r="I211" s="13">
        <f t="shared" si="17"/>
        <v>0.47629582541721299</v>
      </c>
    </row>
    <row r="212" spans="1:9" x14ac:dyDescent="0.25">
      <c r="A212">
        <v>195</v>
      </c>
      <c r="B212" s="9">
        <f t="shared" si="18"/>
        <v>3.4033920413889427</v>
      </c>
      <c r="D212" s="13">
        <f t="shared" si="15"/>
        <v>-0.15011504615946206</v>
      </c>
      <c r="E212" s="13">
        <f t="shared" si="16"/>
        <v>-0.53125920445898767</v>
      </c>
      <c r="H212" s="13">
        <f t="shared" si="19"/>
        <v>0.69245357182854494</v>
      </c>
      <c r="I212" s="13">
        <f t="shared" si="17"/>
        <v>0.46761042732193159</v>
      </c>
    </row>
    <row r="213" spans="1:9" x14ac:dyDescent="0.25">
      <c r="A213">
        <v>196</v>
      </c>
      <c r="B213" s="9">
        <f t="shared" si="18"/>
        <v>3.4208453339088858</v>
      </c>
      <c r="D213" s="13">
        <f t="shared" ref="D213:D276" si="20">SIN(B213)*$B$6</f>
        <v>-0.15986966637385941</v>
      </c>
      <c r="E213" s="13">
        <f t="shared" ref="E213:E276" si="21">COS(B213)*$B$8</f>
        <v>-0.52869393276607546</v>
      </c>
      <c r="H213" s="13">
        <f t="shared" si="19"/>
        <v>0.69744277864442561</v>
      </c>
      <c r="I213" s="13">
        <f t="shared" ref="I213:I276" si="22">D213*SIN($I$8)+E213*COS($I$8)+$N$8</f>
        <v>0.45884452464542674</v>
      </c>
    </row>
    <row r="214" spans="1:9" x14ac:dyDescent="0.25">
      <c r="A214">
        <v>197</v>
      </c>
      <c r="B214" s="9">
        <f t="shared" ref="B214:B277" si="23">RADIANS(A214)</f>
        <v>3.4382986264288293</v>
      </c>
      <c r="D214" s="13">
        <f t="shared" si="20"/>
        <v>-0.16957558873918732</v>
      </c>
      <c r="E214" s="13">
        <f t="shared" si="21"/>
        <v>-0.52596761577966955</v>
      </c>
      <c r="H214" s="13">
        <f t="shared" ref="H214:H277" si="24">D214*COS($I$8)-E214*SIN($I$8)+$N$6</f>
        <v>0.70228282489959726</v>
      </c>
      <c r="I214" s="13">
        <f t="shared" si="22"/>
        <v>0.45000078756657041</v>
      </c>
    </row>
    <row r="215" spans="1:9" x14ac:dyDescent="0.25">
      <c r="A215">
        <v>198</v>
      </c>
      <c r="B215" s="9">
        <f t="shared" si="23"/>
        <v>3.4557519189487724</v>
      </c>
      <c r="D215" s="13">
        <f t="shared" si="20"/>
        <v>-0.17922985673746941</v>
      </c>
      <c r="E215" s="13">
        <f t="shared" si="21"/>
        <v>-0.52308108396233455</v>
      </c>
      <c r="H215" s="13">
        <f t="shared" si="24"/>
        <v>0.70697223626908345</v>
      </c>
      <c r="I215" s="13">
        <f t="shared" si="22"/>
        <v>0.44108190997334862</v>
      </c>
    </row>
    <row r="216" spans="1:9" x14ac:dyDescent="0.25">
      <c r="A216">
        <v>199</v>
      </c>
      <c r="B216" s="9">
        <f t="shared" si="23"/>
        <v>3.473205211468716</v>
      </c>
      <c r="D216" s="13">
        <f t="shared" si="20"/>
        <v>-0.1888295295851509</v>
      </c>
      <c r="E216" s="13">
        <f t="shared" si="21"/>
        <v>-0.52003521657962426</v>
      </c>
      <c r="H216" s="13">
        <f t="shared" si="24"/>
        <v>0.71150958431275413</v>
      </c>
      <c r="I216" s="13">
        <f t="shared" si="22"/>
        <v>0.43209060864227478</v>
      </c>
    </row>
    <row r="217" spans="1:9" x14ac:dyDescent="0.25">
      <c r="A217">
        <v>200</v>
      </c>
      <c r="B217" s="9">
        <f t="shared" si="23"/>
        <v>3.4906585039886591</v>
      </c>
      <c r="D217" s="13">
        <f t="shared" si="20"/>
        <v>-0.19837168312888781</v>
      </c>
      <c r="E217" s="13">
        <f t="shared" si="21"/>
        <v>-0.51683094143224972</v>
      </c>
      <c r="H217" s="13">
        <f t="shared" si="24"/>
        <v>0.71589348691044064</v>
      </c>
      <c r="I217" s="13">
        <f t="shared" si="22"/>
        <v>0.42302962241083564</v>
      </c>
    </row>
    <row r="218" spans="1:9" x14ac:dyDescent="0.25">
      <c r="A218">
        <v>201</v>
      </c>
      <c r="B218" s="9">
        <f t="shared" si="23"/>
        <v>3.5081117965086026</v>
      </c>
      <c r="D218" s="13">
        <f t="shared" si="20"/>
        <v>-0.20785341073627422</v>
      </c>
      <c r="E218" s="13">
        <f t="shared" si="21"/>
        <v>-0.51346923457346105</v>
      </c>
      <c r="H218" s="13">
        <f t="shared" si="24"/>
        <v>0.72012260868294409</v>
      </c>
      <c r="I218" s="13">
        <f t="shared" si="22"/>
        <v>0.41390171134321241</v>
      </c>
    </row>
    <row r="219" spans="1:9" x14ac:dyDescent="0.25">
      <c r="A219">
        <v>202</v>
      </c>
      <c r="B219" s="9">
        <f t="shared" si="23"/>
        <v>3.5255650890285457</v>
      </c>
      <c r="D219" s="13">
        <f t="shared" si="20"/>
        <v>-0.21727182418122895</v>
      </c>
      <c r="E219" s="13">
        <f t="shared" si="21"/>
        <v>-0.50995112001173315</v>
      </c>
      <c r="H219" s="13">
        <f t="shared" si="24"/>
        <v>0.72419566139880387</v>
      </c>
      <c r="I219" s="13">
        <f t="shared" si="22"/>
        <v>0.40470965588954089</v>
      </c>
    </row>
    <row r="220" spans="1:9" x14ac:dyDescent="0.25">
      <c r="A220">
        <v>203</v>
      </c>
      <c r="B220" s="9">
        <f t="shared" si="23"/>
        <v>3.5430183815484888</v>
      </c>
      <c r="D220" s="13">
        <f t="shared" si="20"/>
        <v>-0.22662405452377865</v>
      </c>
      <c r="E220" s="13">
        <f t="shared" si="21"/>
        <v>-0.50627766939884222</v>
      </c>
      <c r="H220" s="13">
        <f t="shared" si="24"/>
        <v>0.72811140436670641</v>
      </c>
      <c r="I220" s="13">
        <f t="shared" si="22"/>
        <v>0.3954562560389574</v>
      </c>
    </row>
    <row r="221" spans="1:9" x14ac:dyDescent="0.25">
      <c r="A221">
        <v>204</v>
      </c>
      <c r="B221" s="9">
        <f t="shared" si="23"/>
        <v>3.5604716740684323</v>
      </c>
      <c r="D221" s="13">
        <f t="shared" si="20"/>
        <v>-0.23590725298396412</v>
      </c>
      <c r="E221" s="13">
        <f t="shared" si="21"/>
        <v>-0.50245000170343057</v>
      </c>
      <c r="H221" s="13">
        <f t="shared" si="24"/>
        <v>0.73186864481341118</v>
      </c>
      <c r="I221" s="13">
        <f t="shared" si="22"/>
        <v>0.38614433046669616</v>
      </c>
    </row>
    <row r="222" spans="1:9" x14ac:dyDescent="0.25">
      <c r="A222">
        <v>205</v>
      </c>
      <c r="B222" s="9">
        <f t="shared" si="23"/>
        <v>3.5779249665883754</v>
      </c>
      <c r="D222" s="13">
        <f t="shared" si="20"/>
        <v>-0.24511859180960557</v>
      </c>
      <c r="E222" s="13">
        <f t="shared" si="21"/>
        <v>-0.49846928287015757</v>
      </c>
      <c r="H222" s="13">
        <f t="shared" si="24"/>
        <v>0.73546623824708046</v>
      </c>
      <c r="I222" s="13">
        <f t="shared" si="22"/>
        <v>0.3767767156754932</v>
      </c>
    </row>
    <row r="223" spans="1:9" x14ac:dyDescent="0.25">
      <c r="A223">
        <v>206</v>
      </c>
      <c r="B223" s="9">
        <f t="shared" si="23"/>
        <v>3.595378259108319</v>
      </c>
      <c r="D223" s="13">
        <f t="shared" si="20"/>
        <v>-0.25425526513766489</v>
      </c>
      <c r="E223" s="13">
        <f t="shared" si="21"/>
        <v>-0.49433672546454183</v>
      </c>
      <c r="H223" s="13">
        <f t="shared" si="24"/>
        <v>0.73890308880590405</v>
      </c>
      <c r="I223" s="13">
        <f t="shared" si="22"/>
        <v>0.36735626513155994</v>
      </c>
    </row>
    <row r="224" spans="1:9" x14ac:dyDescent="0.25">
      <c r="A224">
        <v>207</v>
      </c>
      <c r="B224" s="9">
        <f t="shared" si="23"/>
        <v>3.6128315516282621</v>
      </c>
      <c r="D224" s="13">
        <f t="shared" si="20"/>
        <v>-0.26331448984893707</v>
      </c>
      <c r="E224" s="13">
        <f t="shared" si="21"/>
        <v>-0.49005358830360241</v>
      </c>
      <c r="H224" s="13">
        <f t="shared" si="24"/>
        <v>0.7421781495919082</v>
      </c>
      <c r="I224" s="13">
        <f t="shared" si="22"/>
        <v>0.35788584839539023</v>
      </c>
    </row>
    <row r="225" spans="1:9" x14ac:dyDescent="0.25">
      <c r="A225">
        <v>208</v>
      </c>
      <c r="B225" s="9">
        <f t="shared" si="23"/>
        <v>3.6302848441482056</v>
      </c>
      <c r="D225" s="13">
        <f t="shared" si="20"/>
        <v>-0.27229350641581668</v>
      </c>
      <c r="E225" s="13">
        <f t="shared" si="21"/>
        <v>-0.48562117607240984</v>
      </c>
      <c r="H225" s="13">
        <f t="shared" si="24"/>
        <v>0.74529042298985115</v>
      </c>
      <c r="I225" s="13">
        <f t="shared" si="22"/>
        <v>0.34836835024766355</v>
      </c>
    </row>
    <row r="226" spans="1:9" x14ac:dyDescent="0.25">
      <c r="A226">
        <v>209</v>
      </c>
      <c r="B226" s="9">
        <f t="shared" si="23"/>
        <v>3.6477381366681487</v>
      </c>
      <c r="D226" s="13">
        <f t="shared" si="20"/>
        <v>-0.2811895797428754</v>
      </c>
      <c r="E226" s="13">
        <f t="shared" si="21"/>
        <v>-0.48104083892666777</v>
      </c>
      <c r="H226" s="13">
        <f t="shared" si="24"/>
        <v>0.74823896097110654</v>
      </c>
      <c r="I226" s="13">
        <f t="shared" si="22"/>
        <v>0.33880666981051422</v>
      </c>
    </row>
    <row r="227" spans="1:9" x14ac:dyDescent="0.25">
      <c r="A227">
        <v>210</v>
      </c>
      <c r="B227" s="9">
        <f t="shared" si="23"/>
        <v>3.6651914291880923</v>
      </c>
      <c r="D227" s="13">
        <f t="shared" si="20"/>
        <v>-0.29000000000000004</v>
      </c>
      <c r="E227" s="13">
        <f t="shared" si="21"/>
        <v>-0.47631397208144127</v>
      </c>
      <c r="H227" s="13">
        <f t="shared" si="24"/>
        <v>0.75102286538244234</v>
      </c>
      <c r="I227" s="13">
        <f t="shared" si="22"/>
        <v>0.32920371966442896</v>
      </c>
    </row>
    <row r="228" spans="1:9" x14ac:dyDescent="0.25">
      <c r="A228">
        <v>211</v>
      </c>
      <c r="B228" s="9">
        <f t="shared" si="23"/>
        <v>3.6826447217080354</v>
      </c>
      <c r="D228" s="13">
        <f t="shared" si="20"/>
        <v>-0.29872208344783141</v>
      </c>
      <c r="E228" s="13">
        <f t="shared" si="21"/>
        <v>-0.47144201538616182</v>
      </c>
      <c r="H228" s="13">
        <f t="shared" si="24"/>
        <v>0.75364128821960641</v>
      </c>
      <c r="I228" s="13">
        <f t="shared" si="22"/>
        <v>0.31956242496104859</v>
      </c>
    </row>
    <row r="229" spans="1:9" x14ac:dyDescent="0.25">
      <c r="A229">
        <v>212</v>
      </c>
      <c r="B229" s="9">
        <f t="shared" si="23"/>
        <v>3.7000980142279785</v>
      </c>
      <c r="D229" s="13">
        <f t="shared" si="20"/>
        <v>-0.30735317325525874</v>
      </c>
      <c r="E229" s="13">
        <f t="shared" si="21"/>
        <v>-0.46642645288603435</v>
      </c>
      <c r="H229" s="13">
        <f t="shared" si="24"/>
        <v>0.75609343188563738</v>
      </c>
      <c r="I229" s="13">
        <f t="shared" si="22"/>
        <v>0.30988572253213692</v>
      </c>
    </row>
    <row r="230" spans="1:9" x14ac:dyDescent="0.25">
      <c r="A230">
        <v>213</v>
      </c>
      <c r="B230" s="9">
        <f t="shared" si="23"/>
        <v>3.717551306747922</v>
      </c>
      <c r="D230" s="13">
        <f t="shared" si="20"/>
        <v>-0.31589064030871566</v>
      </c>
      <c r="E230" s="13">
        <f t="shared" si="21"/>
        <v>-0.46126881236998324</v>
      </c>
      <c r="H230" s="13">
        <f t="shared" si="24"/>
        <v>0.75837854943382021</v>
      </c>
      <c r="I230" s="13">
        <f t="shared" si="22"/>
        <v>0.30017655999499393</v>
      </c>
    </row>
    <row r="231" spans="1:9" x14ac:dyDescent="0.25">
      <c r="A231">
        <v>214</v>
      </c>
      <c r="B231" s="9">
        <f t="shared" si="23"/>
        <v>3.7350045992678651</v>
      </c>
      <c r="D231" s="13">
        <f t="shared" si="20"/>
        <v>-0.32433188401303303</v>
      </c>
      <c r="E231" s="13">
        <f t="shared" si="21"/>
        <v>-0.45597066490527305</v>
      </c>
      <c r="H231" s="13">
        <f t="shared" si="24"/>
        <v>0.76049594479521321</v>
      </c>
      <c r="I231" s="13">
        <f t="shared" si="22"/>
        <v>0.29043789485458349</v>
      </c>
    </row>
    <row r="232" spans="1:9" x14ac:dyDescent="0.25">
      <c r="A232">
        <v>215</v>
      </c>
      <c r="B232" s="9">
        <f t="shared" si="23"/>
        <v>3.7524578917878086</v>
      </c>
      <c r="D232" s="13">
        <f t="shared" si="20"/>
        <v>-0.33267433308360678</v>
      </c>
      <c r="E232" s="13">
        <f t="shared" si="21"/>
        <v>-0.45053362435894551</v>
      </c>
      <c r="H232" s="13">
        <f t="shared" si="24"/>
        <v>0.76244497299067759</v>
      </c>
      <c r="I232" s="13">
        <f t="shared" si="22"/>
        <v>0.28067269360264757</v>
      </c>
    </row>
    <row r="233" spans="1:9" x14ac:dyDescent="0.25">
      <c r="A233">
        <v>216</v>
      </c>
      <c r="B233" s="9">
        <f t="shared" si="23"/>
        <v>3.7699111843077517</v>
      </c>
      <c r="D233" s="13">
        <f t="shared" si="20"/>
        <v>-0.34091544632963433</v>
      </c>
      <c r="E233" s="13">
        <f t="shared" si="21"/>
        <v>-0.44495934690622119</v>
      </c>
      <c r="H233" s="13">
        <f t="shared" si="24"/>
        <v>0.7642250403273444</v>
      </c>
      <c r="I233" s="13">
        <f t="shared" si="22"/>
        <v>0.27088393081408574</v>
      </c>
    </row>
    <row r="234" spans="1:9" x14ac:dyDescent="0.25">
      <c r="A234">
        <v>217</v>
      </c>
      <c r="B234" s="9">
        <f t="shared" si="23"/>
        <v>3.7873644768276953</v>
      </c>
      <c r="D234" s="13">
        <f t="shared" si="20"/>
        <v>-0.34905271342818806</v>
      </c>
      <c r="E234" s="13">
        <f t="shared" si="21"/>
        <v>-0.43924953052601107</v>
      </c>
      <c r="H234" s="13">
        <f t="shared" si="24"/>
        <v>0.76583560457945909</v>
      </c>
      <c r="I234" s="13">
        <f t="shared" si="22"/>
        <v>0.26107458824086854</v>
      </c>
    </row>
    <row r="235" spans="1:9" x14ac:dyDescent="0.25">
      <c r="A235">
        <v>218</v>
      </c>
      <c r="B235" s="9">
        <f t="shared" si="23"/>
        <v>3.8048177693476384</v>
      </c>
      <c r="D235" s="13">
        <f t="shared" si="20"/>
        <v>-0.35708365568888173</v>
      </c>
      <c r="E235" s="13">
        <f t="shared" si="21"/>
        <v>-0.43340591448369714</v>
      </c>
      <c r="H235" s="13">
        <f t="shared" si="24"/>
        <v>0.7672761751535484</v>
      </c>
      <c r="I235" s="13">
        <f t="shared" si="22"/>
        <v>0.25124765390376974</v>
      </c>
    </row>
    <row r="236" spans="1:9" x14ac:dyDescent="0.25">
      <c r="A236">
        <v>219</v>
      </c>
      <c r="B236" s="9">
        <f t="shared" si="23"/>
        <v>3.8222710618675819</v>
      </c>
      <c r="D236" s="13">
        <f t="shared" si="20"/>
        <v>-0.36500582680890581</v>
      </c>
      <c r="E236" s="13">
        <f t="shared" si="21"/>
        <v>-0.427430278801334</v>
      </c>
      <c r="H236" s="13">
        <f t="shared" si="24"/>
        <v>0.7685463132378606</v>
      </c>
      <c r="I236" s="13">
        <f t="shared" si="22"/>
        <v>0.24140612118218335</v>
      </c>
    </row>
    <row r="237" spans="1:9" x14ac:dyDescent="0.25">
      <c r="A237">
        <v>220</v>
      </c>
      <c r="B237" s="9">
        <f t="shared" si="23"/>
        <v>3.839724354387525</v>
      </c>
      <c r="D237" s="13">
        <f t="shared" si="20"/>
        <v>-0.37281681361819274</v>
      </c>
      <c r="E237" s="13">
        <f t="shared" si="21"/>
        <v>-0.42132444371543792</v>
      </c>
      <c r="H237" s="13">
        <f t="shared" si="24"/>
        <v>0.76964563193603064</v>
      </c>
      <c r="I237" s="13">
        <f t="shared" si="22"/>
        <v>0.2315529879023141</v>
      </c>
    </row>
    <row r="238" spans="1:9" x14ac:dyDescent="0.25">
      <c r="A238">
        <v>221</v>
      </c>
      <c r="B238" s="9">
        <f t="shared" si="23"/>
        <v>3.8571776469074681</v>
      </c>
      <c r="D238" s="13">
        <f t="shared" si="20"/>
        <v>-0.38051423681449409</v>
      </c>
      <c r="E238" s="13">
        <f t="shared" si="21"/>
        <v>-0.41509026912252472</v>
      </c>
      <c r="H238" s="13">
        <f t="shared" si="24"/>
        <v>0.77057379638493417</v>
      </c>
      <c r="I238" s="13">
        <f t="shared" si="22"/>
        <v>0.22169125542400814</v>
      </c>
    </row>
    <row r="239" spans="1:9" x14ac:dyDescent="0.25">
      <c r="A239">
        <v>222</v>
      </c>
      <c r="B239" s="9">
        <f t="shared" si="23"/>
        <v>3.8746309394274117</v>
      </c>
      <c r="D239" s="13">
        <f t="shared" si="20"/>
        <v>-0.38809575168813776</v>
      </c>
      <c r="E239" s="13">
        <f t="shared" si="21"/>
        <v>-0.40872965401256689</v>
      </c>
      <c r="H239" s="13">
        <f t="shared" si="24"/>
        <v>0.77133052385668854</v>
      </c>
      <c r="I239" s="13">
        <f t="shared" si="22"/>
        <v>0.21182392772651093</v>
      </c>
    </row>
    <row r="240" spans="1:9" x14ac:dyDescent="0.25">
      <c r="A240">
        <v>223</v>
      </c>
      <c r="B240" s="9">
        <f t="shared" si="23"/>
        <v>3.8920842319473548</v>
      </c>
      <c r="D240" s="13">
        <f t="shared" si="20"/>
        <v>-0.39555904883624904</v>
      </c>
      <c r="E240" s="13">
        <f t="shared" si="21"/>
        <v>-0.40224453589054382</v>
      </c>
      <c r="H240" s="13">
        <f t="shared" si="24"/>
        <v>0.77191558384477521</v>
      </c>
      <c r="I240" s="13">
        <f t="shared" si="22"/>
        <v>0.20195401049342637</v>
      </c>
    </row>
    <row r="241" spans="1:9" x14ac:dyDescent="0.25">
      <c r="A241">
        <v>224</v>
      </c>
      <c r="B241" s="9">
        <f t="shared" si="23"/>
        <v>3.9095375244672983</v>
      </c>
      <c r="D241" s="13">
        <f t="shared" si="20"/>
        <v>-0.40290185486621843</v>
      </c>
      <c r="E241" s="13">
        <f t="shared" si="21"/>
        <v>-0.39563689018625814</v>
      </c>
      <c r="H241" s="13">
        <f t="shared" si="24"/>
        <v>0.77232879813425448</v>
      </c>
      <c r="I241" s="13">
        <f t="shared" si="22"/>
        <v>0.19208451019715556</v>
      </c>
    </row>
    <row r="242" spans="1:9" x14ac:dyDescent="0.25">
      <c r="A242">
        <v>225</v>
      </c>
      <c r="B242" s="9">
        <f t="shared" si="23"/>
        <v>3.9269908169872414</v>
      </c>
      <c r="D242" s="13">
        <f t="shared" si="20"/>
        <v>-0.4101219330881975</v>
      </c>
      <c r="E242" s="13">
        <f t="shared" si="21"/>
        <v>-0.38890872965260126</v>
      </c>
      <c r="H242" s="13">
        <f t="shared" si="24"/>
        <v>0.77257004085605052</v>
      </c>
      <c r="I242" s="13">
        <f t="shared" si="22"/>
        <v>0.18221843318309699</v>
      </c>
    </row>
    <row r="243" spans="1:9" x14ac:dyDescent="0.25">
      <c r="A243">
        <v>226</v>
      </c>
      <c r="B243" s="9">
        <f t="shared" si="23"/>
        <v>3.9444441095071849</v>
      </c>
      <c r="D243" s="13">
        <f t="shared" si="20"/>
        <v>-0.41721708419641768</v>
      </c>
      <c r="E243" s="13">
        <f t="shared" si="21"/>
        <v>-0.38206210375244853</v>
      </c>
      <c r="H243" s="13">
        <f t="shared" si="24"/>
        <v>0.77263923852529348</v>
      </c>
      <c r="I243" s="13">
        <f t="shared" si="22"/>
        <v>0.17235878475388355</v>
      </c>
    </row>
    <row r="244" spans="1:9" x14ac:dyDescent="0.25">
      <c r="A244">
        <v>227</v>
      </c>
      <c r="B244" s="9">
        <f t="shared" si="23"/>
        <v>3.961897402027128</v>
      </c>
      <c r="D244" s="13">
        <f t="shared" si="20"/>
        <v>-0.42418514693911885</v>
      </c>
      <c r="E244" s="13">
        <f t="shared" si="21"/>
        <v>-0.37509909803437425</v>
      </c>
      <c r="H244" s="13">
        <f t="shared" si="24"/>
        <v>0.77253637006370302</v>
      </c>
      <c r="I244" s="13">
        <f t="shared" si="22"/>
        <v>0.16250856825393978</v>
      </c>
    </row>
    <row r="245" spans="1:9" x14ac:dyDescent="0.25">
      <c r="A245">
        <v>228</v>
      </c>
      <c r="B245" s="9">
        <f t="shared" si="23"/>
        <v>3.9793506945470716</v>
      </c>
      <c r="D245" s="13">
        <f t="shared" si="20"/>
        <v>-0.43102399877688868</v>
      </c>
      <c r="E245" s="13">
        <f t="shared" si="21"/>
        <v>-0.368021833497372</v>
      </c>
      <c r="H245" s="13">
        <f t="shared" si="24"/>
        <v>0.77226146680600893</v>
      </c>
      <c r="I245" s="13">
        <f t="shared" si="22"/>
        <v>0.15267078415463226</v>
      </c>
    </row>
    <row r="246" spans="1:9" x14ac:dyDescent="0.25">
      <c r="A246">
        <v>229</v>
      </c>
      <c r="B246" s="9">
        <f t="shared" si="23"/>
        <v>3.9968039870670147</v>
      </c>
      <c r="D246" s="13">
        <f t="shared" si="20"/>
        <v>-0.43773155652920775</v>
      </c>
      <c r="E246" s="13">
        <f t="shared" si="21"/>
        <v>-0.36083246594477902</v>
      </c>
      <c r="H246" s="13">
        <f t="shared" si="24"/>
        <v>0.77181461249040673</v>
      </c>
      <c r="I246" s="13">
        <f t="shared" si="22"/>
        <v>0.14284842914029888</v>
      </c>
    </row>
    <row r="247" spans="1:9" x14ac:dyDescent="0.25">
      <c r="A247">
        <v>230</v>
      </c>
      <c r="B247" s="9">
        <f t="shared" si="23"/>
        <v>4.0142572795869578</v>
      </c>
      <c r="D247" s="13">
        <f t="shared" si="20"/>
        <v>-0.44430577700900714</v>
      </c>
      <c r="E247" s="13">
        <f t="shared" si="21"/>
        <v>-0.35353318532759676</v>
      </c>
      <c r="H247" s="13">
        <f t="shared" si="24"/>
        <v>0.77119594323304952</v>
      </c>
      <c r="I247" s="13">
        <f t="shared" si="22"/>
        <v>0.13304449519542821</v>
      </c>
    </row>
    <row r="248" spans="1:9" x14ac:dyDescent="0.25">
      <c r="A248">
        <v>231</v>
      </c>
      <c r="B248" s="9">
        <f t="shared" si="23"/>
        <v>4.0317105721069009</v>
      </c>
      <c r="D248" s="13">
        <f t="shared" si="20"/>
        <v>-0.4507446576450429</v>
      </c>
      <c r="E248" s="13">
        <f t="shared" si="21"/>
        <v>-0.34612621507741081</v>
      </c>
      <c r="H248" s="13">
        <f t="shared" si="24"/>
        <v>0.77040564748658635</v>
      </c>
      <c r="I248" s="13">
        <f t="shared" si="22"/>
        <v>0.12326196869327252</v>
      </c>
    </row>
    <row r="249" spans="1:9" x14ac:dyDescent="0.25">
      <c r="A249">
        <v>232</v>
      </c>
      <c r="B249" s="9">
        <f t="shared" si="23"/>
        <v>4.0491638646268449</v>
      </c>
      <c r="D249" s="13">
        <f t="shared" si="20"/>
        <v>-0.45704623709189879</v>
      </c>
      <c r="E249" s="13">
        <f t="shared" si="21"/>
        <v>-0.33861381142911195</v>
      </c>
      <c r="H249" s="13">
        <f t="shared" si="24"/>
        <v>0.76944396598275733</v>
      </c>
      <c r="I249" s="13">
        <f t="shared" si="22"/>
        <v>0.11350382948616941</v>
      </c>
    </row>
    <row r="250" spans="1:9" x14ac:dyDescent="0.25">
      <c r="A250">
        <v>233</v>
      </c>
      <c r="B250" s="9">
        <f t="shared" si="23"/>
        <v>4.066617157146788</v>
      </c>
      <c r="D250" s="13">
        <f t="shared" si="20"/>
        <v>-0.46320859582742979</v>
      </c>
      <c r="E250" s="13">
        <f t="shared" si="21"/>
        <v>-0.33099826273362659</v>
      </c>
      <c r="H250" s="13">
        <f t="shared" si="24"/>
        <v>0.7683111916590647</v>
      </c>
      <c r="I250" s="13">
        <f t="shared" si="22"/>
        <v>0.10377304999785156</v>
      </c>
    </row>
    <row r="251" spans="1:9" x14ac:dyDescent="0.25">
      <c r="A251">
        <v>234</v>
      </c>
      <c r="B251" s="9">
        <f t="shared" si="23"/>
        <v>4.0840704496667311</v>
      </c>
      <c r="D251" s="13">
        <f t="shared" si="20"/>
        <v>-0.46922985673746942</v>
      </c>
      <c r="E251" s="13">
        <f t="shared" si="21"/>
        <v>-0.32328188876086034</v>
      </c>
      <c r="H251" s="13">
        <f t="shared" si="24"/>
        <v>0.7670076695695407</v>
      </c>
      <c r="I251" s="13">
        <f t="shared" si="22"/>
        <v>9.4072594318014735E-2</v>
      </c>
    </row>
    <row r="252" spans="1:9" x14ac:dyDescent="0.25">
      <c r="A252">
        <v>235</v>
      </c>
      <c r="B252" s="9">
        <f t="shared" si="23"/>
        <v>4.1015237421866741</v>
      </c>
      <c r="D252" s="13">
        <f t="shared" si="20"/>
        <v>-0.47510818568761509</v>
      </c>
      <c r="E252" s="13">
        <f t="shared" si="21"/>
        <v>-0.31546703999307552</v>
      </c>
      <c r="H252" s="13">
        <f t="shared" si="24"/>
        <v>0.7655337967796414</v>
      </c>
      <c r="I252" s="13">
        <f t="shared" si="22"/>
        <v>8.4405417299429436E-2</v>
      </c>
    </row>
    <row r="253" spans="1:9" x14ac:dyDescent="0.25">
      <c r="A253">
        <v>236</v>
      </c>
      <c r="B253" s="9">
        <f t="shared" si="23"/>
        <v>4.1189770347066181</v>
      </c>
      <c r="D253" s="13">
        <f t="shared" si="20"/>
        <v>-0.48084179208192424</v>
      </c>
      <c r="E253" s="13">
        <f t="shared" si="21"/>
        <v>-0.30755609690891061</v>
      </c>
      <c r="H253" s="13">
        <f t="shared" si="24"/>
        <v>0.76389002224529623</v>
      </c>
      <c r="I253" s="13">
        <f t="shared" si="22"/>
        <v>7.4774463657863277E-2</v>
      </c>
    </row>
    <row r="254" spans="1:9" x14ac:dyDescent="0.25">
      <c r="A254">
        <v>237</v>
      </c>
      <c r="B254" s="9">
        <f t="shared" si="23"/>
        <v>4.1364303272265612</v>
      </c>
      <c r="D254" s="13">
        <f t="shared" si="20"/>
        <v>-0.48642892940834592</v>
      </c>
      <c r="E254" s="13">
        <f t="shared" si="21"/>
        <v>-0.29955146925826487</v>
      </c>
      <c r="H254" s="13">
        <f t="shared" si="24"/>
        <v>0.76207684667615216</v>
      </c>
      <c r="I254" s="13">
        <f t="shared" si="22"/>
        <v>6.5182667075093376E-2</v>
      </c>
    </row>
    <row r="255" spans="1:9" x14ac:dyDescent="0.25">
      <c r="A255">
        <v>238</v>
      </c>
      <c r="B255" s="9">
        <f t="shared" si="23"/>
        <v>4.1538836197465043</v>
      </c>
      <c r="D255" s="13">
        <f t="shared" si="20"/>
        <v>-0.49186789577072704</v>
      </c>
      <c r="E255" s="13">
        <f t="shared" si="21"/>
        <v>-0.29145559532826276</v>
      </c>
      <c r="H255" s="13">
        <f t="shared" si="24"/>
        <v>0.76009482238305204</v>
      </c>
      <c r="I255" s="13">
        <f t="shared" si="22"/>
        <v>5.5632949305276208E-2</v>
      </c>
    </row>
    <row r="256" spans="1:9" x14ac:dyDescent="0.25">
      <c r="A256">
        <v>239</v>
      </c>
      <c r="B256" s="9">
        <f t="shared" si="23"/>
        <v>4.1713369122664474</v>
      </c>
      <c r="D256" s="13">
        <f t="shared" si="20"/>
        <v>-0.49715703440722497</v>
      </c>
      <c r="E256" s="13">
        <f t="shared" si="21"/>
        <v>-0.28327094120052998</v>
      </c>
      <c r="H256" s="13">
        <f t="shared" si="24"/>
        <v>0.7579445531097958</v>
      </c>
      <c r="I256" s="13">
        <f t="shared" si="22"/>
        <v>4.6128219284954808E-2</v>
      </c>
    </row>
    <row r="257" spans="1:9" x14ac:dyDescent="0.25">
      <c r="A257">
        <v>240</v>
      </c>
      <c r="B257" s="9">
        <f t="shared" si="23"/>
        <v>4.1887902047863905</v>
      </c>
      <c r="D257" s="13">
        <f t="shared" si="20"/>
        <v>-0.50229473419497417</v>
      </c>
      <c r="E257" s="13">
        <f t="shared" si="21"/>
        <v>-0.27500000000000024</v>
      </c>
      <c r="H257" s="13">
        <f t="shared" si="24"/>
        <v>0.7556266938492342</v>
      </c>
      <c r="I257" s="13">
        <f t="shared" si="22"/>
        <v>3.6671372246967621E-2</v>
      </c>
    </row>
    <row r="258" spans="1:9" x14ac:dyDescent="0.25">
      <c r="A258">
        <v>241</v>
      </c>
      <c r="B258" s="9">
        <f t="shared" si="23"/>
        <v>4.2062434973063345</v>
      </c>
      <c r="D258" s="13">
        <f t="shared" si="20"/>
        <v>-0.50727943014084964</v>
      </c>
      <c r="E258" s="13">
        <f t="shared" si="21"/>
        <v>-0.2666452911354853</v>
      </c>
      <c r="H258" s="13">
        <f t="shared" si="24"/>
        <v>0.75314195064375178</v>
      </c>
      <c r="I258" s="13">
        <f t="shared" si="22"/>
        <v>2.7265288838532381E-2</v>
      </c>
    </row>
    <row r="259" spans="1:9" x14ac:dyDescent="0.25">
      <c r="A259">
        <v>242</v>
      </c>
      <c r="B259" s="9">
        <f t="shared" si="23"/>
        <v>4.2236967898262776</v>
      </c>
      <c r="D259" s="13">
        <f t="shared" si="20"/>
        <v>-0.51210960385817761</v>
      </c>
      <c r="E259" s="13">
        <f t="shared" si="21"/>
        <v>-0.25820935953223995</v>
      </c>
      <c r="H259" s="13">
        <f t="shared" si="24"/>
        <v>0.75049108037019907</v>
      </c>
      <c r="I259" s="13">
        <f t="shared" si="22"/>
        <v>1.7912834243775239E-2</v>
      </c>
    </row>
    <row r="260" spans="1:9" x14ac:dyDescent="0.25">
      <c r="A260">
        <v>243</v>
      </c>
      <c r="B260" s="9">
        <f t="shared" si="23"/>
        <v>4.2411500823462207</v>
      </c>
      <c r="D260" s="13">
        <f t="shared" si="20"/>
        <v>-0.51678378402925329</v>
      </c>
      <c r="E260" s="13">
        <f t="shared" si="21"/>
        <v>-0.24969477485675082</v>
      </c>
      <c r="H260" s="13">
        <f t="shared" si="24"/>
        <v>0.74767489050934077</v>
      </c>
      <c r="I260" s="13">
        <f t="shared" si="22"/>
        <v>8.6168573109643709E-3</v>
      </c>
    </row>
    <row r="261" spans="1:9" x14ac:dyDescent="0.25">
      <c r="A261">
        <v>244</v>
      </c>
      <c r="B261" s="9">
        <f t="shared" si="23"/>
        <v>4.2586033748661638</v>
      </c>
      <c r="D261" s="13">
        <f t="shared" si="20"/>
        <v>-0.52130054685351668</v>
      </c>
      <c r="E261" s="13">
        <f t="shared" si="21"/>
        <v>-0.24110413073399278</v>
      </c>
      <c r="H261" s="13">
        <f t="shared" si="24"/>
        <v>0.74469423889988995</v>
      </c>
      <c r="I261" s="13">
        <f t="shared" si="22"/>
        <v>-6.1981031527408303E-4</v>
      </c>
    </row>
    <row r="262" spans="1:9" x14ac:dyDescent="0.25">
      <c r="A262">
        <v>245</v>
      </c>
      <c r="B262" s="9">
        <f t="shared" si="23"/>
        <v>4.2760566673861078</v>
      </c>
      <c r="D262" s="13">
        <f t="shared" si="20"/>
        <v>-0.52565851648125694</v>
      </c>
      <c r="E262" s="13">
        <f t="shared" si="21"/>
        <v>-0.23244004395738455</v>
      </c>
      <c r="H262" s="13">
        <f t="shared" si="24"/>
        <v>0.7415500334772005</v>
      </c>
      <c r="I262" s="13">
        <f t="shared" si="22"/>
        <v>-9.7943550565043336E-3</v>
      </c>
    </row>
    <row r="263" spans="1:9" x14ac:dyDescent="0.25">
      <c r="A263">
        <v>246</v>
      </c>
      <c r="B263" s="9">
        <f t="shared" si="23"/>
        <v>4.2935099599060509</v>
      </c>
      <c r="D263" s="13">
        <f t="shared" si="20"/>
        <v>-0.52985636543270853</v>
      </c>
      <c r="E263" s="13">
        <f t="shared" si="21"/>
        <v>-0.22370515369169008</v>
      </c>
      <c r="H263" s="13">
        <f t="shared" si="24"/>
        <v>0.7382432319967035</v>
      </c>
      <c r="I263" s="13">
        <f t="shared" si="22"/>
        <v>-1.8903982257521351E-2</v>
      </c>
    </row>
    <row r="264" spans="1:9" x14ac:dyDescent="0.25">
      <c r="A264">
        <v>247</v>
      </c>
      <c r="B264" s="9">
        <f t="shared" si="23"/>
        <v>4.310963252425994</v>
      </c>
      <c r="D264" s="13">
        <f t="shared" si="20"/>
        <v>-0.53389281500241537</v>
      </c>
      <c r="E264" s="13">
        <f t="shared" si="21"/>
        <v>-0.21490212066910061</v>
      </c>
      <c r="H264" s="13">
        <f t="shared" si="24"/>
        <v>0.73477484174216312</v>
      </c>
      <c r="I264" s="13">
        <f t="shared" si="22"/>
        <v>-2.7945917037633217E-2</v>
      </c>
    </row>
    <row r="265" spans="1:9" x14ac:dyDescent="0.25">
      <c r="A265">
        <v>248</v>
      </c>
      <c r="B265" s="9">
        <f t="shared" si="23"/>
        <v>4.3284165449459371</v>
      </c>
      <c r="D265" s="13">
        <f t="shared" si="20"/>
        <v>-0.53776663564873661</v>
      </c>
      <c r="E265" s="13">
        <f t="shared" si="21"/>
        <v>-0.20603362637875178</v>
      </c>
      <c r="H265" s="13">
        <f t="shared" si="24"/>
        <v>0.73114591921884997</v>
      </c>
      <c r="I265" s="13">
        <f t="shared" si="22"/>
        <v>-3.6917405135914683E-2</v>
      </c>
    </row>
    <row r="266" spans="1:9" x14ac:dyDescent="0.25">
      <c r="A266">
        <v>249</v>
      </c>
      <c r="B266" s="9">
        <f t="shared" si="23"/>
        <v>4.3458698374658802</v>
      </c>
      <c r="D266" s="13">
        <f t="shared" si="20"/>
        <v>-0.54147664736837686</v>
      </c>
      <c r="E266" s="13">
        <f t="shared" si="21"/>
        <v>-0.19710237224991542</v>
      </c>
      <c r="H266" s="13">
        <f t="shared" si="24"/>
        <v>0.72735756983171906</v>
      </c>
      <c r="I266" s="13">
        <f t="shared" si="22"/>
        <v>-4.581571375018223E-2</v>
      </c>
    </row>
    <row r="267" spans="1:9" x14ac:dyDescent="0.25">
      <c r="A267">
        <v>250</v>
      </c>
      <c r="B267" s="9">
        <f t="shared" si="23"/>
        <v>4.3633231299858242</v>
      </c>
      <c r="D267" s="13">
        <f t="shared" si="20"/>
        <v>-0.54502172005582683</v>
      </c>
      <c r="E267" s="13">
        <f t="shared" si="21"/>
        <v>-0.18811107882911771</v>
      </c>
      <c r="H267" s="13">
        <f t="shared" si="24"/>
        <v>0.72341094754869173</v>
      </c>
      <c r="I267" s="13">
        <f t="shared" si="22"/>
        <v>-5.4638132369432713E-2</v>
      </c>
    </row>
    <row r="268" spans="1:9" x14ac:dyDescent="0.25">
      <c r="A268">
        <v>251</v>
      </c>
      <c r="B268" s="9">
        <f t="shared" si="23"/>
        <v>4.3807764225057673</v>
      </c>
      <c r="D268" s="13">
        <f t="shared" si="20"/>
        <v>-0.54840077384760377</v>
      </c>
      <c r="E268" s="13">
        <f t="shared" si="21"/>
        <v>-0.17906248495143617</v>
      </c>
      <c r="H268" s="13">
        <f t="shared" si="24"/>
        <v>0.7193072545491479</v>
      </c>
      <c r="I268" s="13">
        <f t="shared" si="22"/>
        <v>-6.338197359948905E-2</v>
      </c>
    </row>
    <row r="269" spans="1:9" x14ac:dyDescent="0.25">
      <c r="A269">
        <v>252</v>
      </c>
      <c r="B269" s="9">
        <f t="shared" si="23"/>
        <v>4.3982297150257104</v>
      </c>
      <c r="D269" s="13">
        <f t="shared" si="20"/>
        <v>-0.55161277945118903</v>
      </c>
      <c r="E269" s="13">
        <f t="shared" si="21"/>
        <v>-0.16995934690622116</v>
      </c>
      <c r="H269" s="13">
        <f t="shared" si="24"/>
        <v>0.71504774085772815</v>
      </c>
      <c r="I269" s="13">
        <f t="shared" si="22"/>
        <v>-7.204457398160935E-2</v>
      </c>
    </row>
    <row r="270" spans="1:9" x14ac:dyDescent="0.25">
      <c r="A270">
        <v>253</v>
      </c>
      <c r="B270" s="9">
        <f t="shared" si="23"/>
        <v>4.4156830075456535</v>
      </c>
      <c r="D270" s="13">
        <f t="shared" si="20"/>
        <v>-0.55465675845856044</v>
      </c>
      <c r="E270" s="13">
        <f t="shared" si="21"/>
        <v>-0.16080443759750543</v>
      </c>
      <c r="H270" s="13">
        <f t="shared" si="24"/>
        <v>0.71063370396356584</v>
      </c>
      <c r="I270" s="13">
        <f t="shared" si="22"/>
        <v>-8.0623294803800816E-2</v>
      </c>
    </row>
    <row r="271" spans="1:9" x14ac:dyDescent="0.25">
      <c r="A271">
        <v>254</v>
      </c>
      <c r="B271" s="9">
        <f t="shared" si="23"/>
        <v>4.4331363000655974</v>
      </c>
      <c r="D271" s="13">
        <f t="shared" si="20"/>
        <v>-0.55753178364422495</v>
      </c>
      <c r="E271" s="13">
        <f t="shared" si="21"/>
        <v>-0.15160054569934939</v>
      </c>
      <c r="H271" s="13">
        <f t="shared" si="24"/>
        <v>0.70606648842505848</v>
      </c>
      <c r="I271" s="13">
        <f t="shared" si="22"/>
        <v>-8.9115522904597733E-2</v>
      </c>
    </row>
    <row r="272" spans="1:9" x14ac:dyDescent="0.25">
      <c r="A272">
        <v>255</v>
      </c>
      <c r="B272" s="9">
        <f t="shared" si="23"/>
        <v>4.4505895925855405</v>
      </c>
      <c r="D272" s="13">
        <f t="shared" si="20"/>
        <v>-0.56023697924765958</v>
      </c>
      <c r="E272" s="13">
        <f t="shared" si="21"/>
        <v>-0.14235047480638635</v>
      </c>
      <c r="H272" s="13">
        <f t="shared" si="24"/>
        <v>0.70134748546030301</v>
      </c>
      <c r="I272" s="13">
        <f t="shared" si="22"/>
        <v>-9.7518671469053408E-2</v>
      </c>
    </row>
    <row r="273" spans="1:9" x14ac:dyDescent="0.25">
      <c r="A273">
        <v>256</v>
      </c>
      <c r="B273" s="9">
        <f t="shared" si="23"/>
        <v>4.4680428851054836</v>
      </c>
      <c r="D273" s="13">
        <f t="shared" si="20"/>
        <v>-0.5627715212400779</v>
      </c>
      <c r="E273" s="13">
        <f t="shared" si="21"/>
        <v>-0.13305704257981729</v>
      </c>
      <c r="H273" s="13">
        <f t="shared" si="24"/>
        <v>0.69647813252331658</v>
      </c>
      <c r="I273" s="13">
        <f t="shared" si="22"/>
        <v>-0.10583018081671253</v>
      </c>
    </row>
    <row r="274" spans="1:9" x14ac:dyDescent="0.25">
      <c r="A274">
        <v>257</v>
      </c>
      <c r="B274" s="9">
        <f t="shared" si="23"/>
        <v>4.4854961776254267</v>
      </c>
      <c r="D274" s="13">
        <f t="shared" si="20"/>
        <v>-0.56513463757543636</v>
      </c>
      <c r="E274" s="13">
        <f t="shared" si="21"/>
        <v>-0.1237230798891259</v>
      </c>
      <c r="H274" s="13">
        <f t="shared" si="24"/>
        <v>0.69145991286617392</v>
      </c>
      <c r="I274" s="13">
        <f t="shared" si="22"/>
        <v>-0.1140475191813124</v>
      </c>
    </row>
    <row r="275" spans="1:9" x14ac:dyDescent="0.25">
      <c r="A275">
        <v>258</v>
      </c>
      <c r="B275" s="9">
        <f t="shared" si="23"/>
        <v>4.5029494701453698</v>
      </c>
      <c r="D275" s="13">
        <f t="shared" si="20"/>
        <v>-0.5673256084256072</v>
      </c>
      <c r="E275" s="13">
        <f t="shared" si="21"/>
        <v>-0.11435142994976789</v>
      </c>
      <c r="H275" s="13">
        <f t="shared" si="24"/>
        <v>0.68629435508719538</v>
      </c>
      <c r="I275" s="13">
        <f t="shared" si="22"/>
        <v>-0.12216818348198399</v>
      </c>
    </row>
    <row r="276" spans="1:9" x14ac:dyDescent="0.25">
      <c r="A276">
        <v>259</v>
      </c>
      <c r="B276" s="9">
        <f t="shared" si="23"/>
        <v>4.5204027626653138</v>
      </c>
      <c r="D276" s="13">
        <f t="shared" si="20"/>
        <v>-0.56934376639964501</v>
      </c>
      <c r="E276" s="13">
        <f t="shared" si="21"/>
        <v>-0.10494494745709955</v>
      </c>
      <c r="H276" s="13">
        <f t="shared" si="24"/>
        <v>0.6809830326653199</v>
      </c>
      <c r="I276" s="13">
        <f t="shared" si="22"/>
        <v>-0.13018970008571495</v>
      </c>
    </row>
    <row r="277" spans="1:9" x14ac:dyDescent="0.25">
      <c r="A277">
        <v>260</v>
      </c>
      <c r="B277" s="9">
        <f t="shared" si="23"/>
        <v>4.5378560551852569</v>
      </c>
      <c r="D277" s="13">
        <f t="shared" ref="D277:D340" si="25">SIN(B277)*$B$6</f>
        <v>-0.57118849674708061</v>
      </c>
      <c r="E277" s="13">
        <f t="shared" ref="E277:E340" si="26">COS(B277)*$B$8</f>
        <v>-9.5506497716811689E-2</v>
      </c>
      <c r="H277" s="13">
        <f t="shared" si="24"/>
        <v>0.67552756348080989</v>
      </c>
      <c r="I277" s="13">
        <f t="shared" ref="I277:I340" si="27">D277*SIN($I$8)+E277*COS($I$8)+$N$8</f>
        <v>-0.13810962556084105</v>
      </c>
    </row>
    <row r="278" spans="1:9" x14ac:dyDescent="0.25">
      <c r="A278">
        <v>261</v>
      </c>
      <c r="B278" s="9">
        <f t="shared" ref="B278:B341" si="28">RADIANS(A278)</f>
        <v>4.5553093477052</v>
      </c>
      <c r="D278" s="13">
        <f t="shared" si="25"/>
        <v>-0.57285923754517976</v>
      </c>
      <c r="E278" s="13">
        <f t="shared" si="26"/>
        <v>-8.6038955772127071E-2</v>
      </c>
      <c r="H278" s="13">
        <f t="shared" ref="H278:H341" si="29">D278*COS($I$8)-E278*SIN($I$8)+$N$6</f>
        <v>0.66992960932242684</v>
      </c>
      <c r="I278" s="13">
        <f t="shared" si="27"/>
        <v>-0.14592554742134073</v>
      </c>
    </row>
    <row r="279" spans="1:9" x14ac:dyDescent="0.25">
      <c r="A279">
        <v>262</v>
      </c>
      <c r="B279" s="9">
        <f t="shared" si="28"/>
        <v>4.5727626402251431</v>
      </c>
      <c r="D279" s="13">
        <f t="shared" si="25"/>
        <v>-0.57435547987011071</v>
      </c>
      <c r="E279" s="13">
        <f t="shared" si="26"/>
        <v>-7.6545205528036217E-2</v>
      </c>
      <c r="H279" s="13">
        <f t="shared" si="29"/>
        <v>0.664190875381236</v>
      </c>
      <c r="I279" s="13">
        <f t="shared" si="27"/>
        <v>-0.15363508486170091</v>
      </c>
    </row>
    <row r="280" spans="1:9" x14ac:dyDescent="0.25">
      <c r="A280">
        <v>263</v>
      </c>
      <c r="B280" s="9">
        <f t="shared" si="28"/>
        <v>4.5902159327450871</v>
      </c>
      <c r="D280" s="13">
        <f t="shared" si="25"/>
        <v>-0.57567676795196676</v>
      </c>
      <c r="E280" s="13">
        <f t="shared" si="26"/>
        <v>-6.7028138872830947E-2</v>
      </c>
      <c r="H280" s="13">
        <f t="shared" si="29"/>
        <v>0.65831310973118806</v>
      </c>
      <c r="I280" s="13">
        <f t="shared" si="27"/>
        <v>-0.16123588948213352</v>
      </c>
    </row>
    <row r="281" spans="1:9" x14ac:dyDescent="0.25">
      <c r="A281">
        <v>264</v>
      </c>
      <c r="B281" s="9">
        <f t="shared" si="28"/>
        <v>4.6076692252650302</v>
      </c>
      <c r="D281" s="13">
        <f t="shared" si="25"/>
        <v>-0.57682269931359853</v>
      </c>
      <c r="E281" s="13">
        <f t="shared" si="26"/>
        <v>-5.7490654797209349E-2</v>
      </c>
      <c r="H281" s="13">
        <f t="shared" si="29"/>
        <v>0.65229810279663958</v>
      </c>
      <c r="I281" s="13">
        <f t="shared" si="27"/>
        <v>-0.16872564600391993</v>
      </c>
    </row>
    <row r="282" spans="1:9" x14ac:dyDescent="0.25">
      <c r="A282">
        <v>265</v>
      </c>
      <c r="B282" s="9">
        <f t="shared" si="28"/>
        <v>4.6251225177849733</v>
      </c>
      <c r="D282" s="13">
        <f t="shared" si="25"/>
        <v>-0.57779292489321232</v>
      </c>
      <c r="E282" s="13">
        <f t="shared" si="26"/>
        <v>-4.7935658511212044E-2</v>
      </c>
      <c r="H282" s="13">
        <f t="shared" si="29"/>
        <v>0.64614768680697132</v>
      </c>
      <c r="I282" s="13">
        <f t="shared" si="27"/>
        <v>-0.17610207297466879</v>
      </c>
    </row>
    <row r="283" spans="1:9" x14ac:dyDescent="0.25">
      <c r="A283">
        <v>266</v>
      </c>
      <c r="B283" s="9">
        <f t="shared" si="28"/>
        <v>4.6425758103049164</v>
      </c>
      <c r="D283" s="13">
        <f t="shared" si="25"/>
        <v>-0.57858714915069798</v>
      </c>
      <c r="E283" s="13">
        <f t="shared" si="26"/>
        <v>-3.8366060559269069E-2</v>
      </c>
      <c r="H283" s="13">
        <f t="shared" si="29"/>
        <v>0.63986373523847417</v>
      </c>
      <c r="I283" s="13">
        <f t="shared" si="27"/>
        <v>-0.1833629234632681</v>
      </c>
    </row>
    <row r="284" spans="1:9" x14ac:dyDescent="0.25">
      <c r="A284">
        <v>267</v>
      </c>
      <c r="B284" s="9">
        <f t="shared" si="28"/>
        <v>4.6600291028248595</v>
      </c>
      <c r="D284" s="13">
        <f t="shared" si="25"/>
        <v>-0.57920513015765274</v>
      </c>
      <c r="E284" s="13">
        <f t="shared" si="26"/>
        <v>-2.8784775933619371E-2</v>
      </c>
      <c r="H284" s="13">
        <f t="shared" si="29"/>
        <v>0.63344816224366995</v>
      </c>
      <c r="I284" s="13">
        <f t="shared" si="27"/>
        <v>-0.19050598574432143</v>
      </c>
    </row>
    <row r="285" spans="1:9" x14ac:dyDescent="0.25">
      <c r="A285">
        <v>268</v>
      </c>
      <c r="B285" s="9">
        <f t="shared" si="28"/>
        <v>4.6774823953448035</v>
      </c>
      <c r="D285" s="13">
        <f t="shared" si="25"/>
        <v>-0.57964667967107553</v>
      </c>
      <c r="E285" s="13">
        <f t="shared" si="26"/>
        <v>-1.9194723186375419E-2</v>
      </c>
      <c r="H285" s="13">
        <f t="shared" si="29"/>
        <v>0.62690292206824161</v>
      </c>
      <c r="I285" s="13">
        <f t="shared" si="27"/>
        <v>-0.19752908397186197</v>
      </c>
    </row>
    <row r="286" spans="1:9" x14ac:dyDescent="0.25">
      <c r="A286">
        <v>269</v>
      </c>
      <c r="B286" s="9">
        <f t="shared" si="28"/>
        <v>4.6949356878647466</v>
      </c>
      <c r="D286" s="13">
        <f t="shared" si="25"/>
        <v>-0.57991166319070686</v>
      </c>
      <c r="E286" s="13">
        <f t="shared" si="26"/>
        <v>-9.5988235405059241E-3</v>
      </c>
      <c r="H286" s="13">
        <f t="shared" si="29"/>
        <v>0.62023000845575216</v>
      </c>
      <c r="I286" s="13">
        <f t="shared" si="27"/>
        <v>-0.20443007884213449</v>
      </c>
    </row>
    <row r="287" spans="1:9" x14ac:dyDescent="0.25">
      <c r="A287">
        <v>270</v>
      </c>
      <c r="B287" s="9">
        <f t="shared" si="28"/>
        <v>4.7123889803846897</v>
      </c>
      <c r="D287" s="13">
        <f t="shared" si="25"/>
        <v>-0.57999999999999996</v>
      </c>
      <c r="E287" s="13">
        <f t="shared" si="26"/>
        <v>-1.0107474752996116E-16</v>
      </c>
      <c r="H287" s="13">
        <f t="shared" si="29"/>
        <v>0.61343145404032984</v>
      </c>
      <c r="I287" s="13">
        <f t="shared" si="27"/>
        <v>-0.21120686824525065</v>
      </c>
    </row>
    <row r="288" spans="1:9" x14ac:dyDescent="0.25">
      <c r="A288">
        <v>271</v>
      </c>
      <c r="B288" s="9">
        <f t="shared" si="28"/>
        <v>4.7298422729046328</v>
      </c>
      <c r="D288" s="13">
        <f t="shared" si="25"/>
        <v>-0.57991166319070686</v>
      </c>
      <c r="E288" s="13">
        <f t="shared" si="26"/>
        <v>9.5988235405057229E-3</v>
      </c>
      <c r="H288" s="13">
        <f t="shared" si="29"/>
        <v>0.60650932972750859</v>
      </c>
      <c r="I288" s="13">
        <f t="shared" si="27"/>
        <v>-0.21785738790550979</v>
      </c>
    </row>
    <row r="289" spans="1:9" x14ac:dyDescent="0.25">
      <c r="A289">
        <v>272</v>
      </c>
      <c r="B289" s="9">
        <f t="shared" si="28"/>
        <v>4.7472955654245768</v>
      </c>
      <c r="D289" s="13">
        <f t="shared" si="25"/>
        <v>-0.57964667967107553</v>
      </c>
      <c r="E289" s="13">
        <f t="shared" si="26"/>
        <v>1.9194723186375707E-2</v>
      </c>
      <c r="H289" s="13">
        <f t="shared" si="29"/>
        <v>0.59946574406341002</v>
      </c>
      <c r="I289" s="13">
        <f t="shared" si="27"/>
        <v>-0.22437961201019896</v>
      </c>
    </row>
    <row r="290" spans="1:9" x14ac:dyDescent="0.25">
      <c r="A290">
        <v>273</v>
      </c>
      <c r="B290" s="9">
        <f t="shared" si="28"/>
        <v>4.7647488579445199</v>
      </c>
      <c r="D290" s="13">
        <f t="shared" si="25"/>
        <v>-0.57920513015765274</v>
      </c>
      <c r="E290" s="13">
        <f t="shared" si="26"/>
        <v>2.8784775933619174E-2</v>
      </c>
      <c r="H290" s="13">
        <f t="shared" si="29"/>
        <v>0.59230284259246047</v>
      </c>
      <c r="I290" s="13">
        <f t="shared" si="27"/>
        <v>-0.23077155382667269</v>
      </c>
    </row>
    <row r="291" spans="1:9" x14ac:dyDescent="0.25">
      <c r="A291">
        <v>274</v>
      </c>
      <c r="B291" s="9">
        <f t="shared" si="28"/>
        <v>4.782202150464463</v>
      </c>
      <c r="D291" s="13">
        <f t="shared" si="25"/>
        <v>-0.57858714915069809</v>
      </c>
      <c r="E291" s="13">
        <f t="shared" si="26"/>
        <v>3.8366060559268875E-2</v>
      </c>
      <c r="H291" s="13">
        <f t="shared" si="29"/>
        <v>0.5850228072038367</v>
      </c>
      <c r="I291" s="13">
        <f t="shared" si="27"/>
        <v>-0.23703126630753418</v>
      </c>
    </row>
    <row r="292" spans="1:9" x14ac:dyDescent="0.25">
      <c r="A292">
        <v>275</v>
      </c>
      <c r="B292" s="9">
        <f t="shared" si="28"/>
        <v>4.7996554429844061</v>
      </c>
      <c r="D292" s="13">
        <f t="shared" si="25"/>
        <v>-0.57779292489321232</v>
      </c>
      <c r="E292" s="13">
        <f t="shared" si="26"/>
        <v>4.7935658511211843E-2</v>
      </c>
      <c r="H292" s="13">
        <f t="shared" si="29"/>
        <v>0.57762785546684103</v>
      </c>
      <c r="I292" s="13">
        <f t="shared" si="27"/>
        <v>-0.24315684268372229</v>
      </c>
    </row>
    <row r="293" spans="1:9" x14ac:dyDescent="0.25">
      <c r="A293">
        <v>276</v>
      </c>
      <c r="B293" s="9">
        <f t="shared" si="28"/>
        <v>4.8171087355043491</v>
      </c>
      <c r="D293" s="13">
        <f t="shared" si="25"/>
        <v>-0.57682269931359853</v>
      </c>
      <c r="E293" s="13">
        <f t="shared" si="26"/>
        <v>5.7490654797209148E-2</v>
      </c>
      <c r="H293" s="13">
        <f t="shared" si="29"/>
        <v>0.57012023995540928</v>
      </c>
      <c r="I293" s="13">
        <f t="shared" si="27"/>
        <v>-0.24914641704533336</v>
      </c>
    </row>
    <row r="294" spans="1:9" x14ac:dyDescent="0.25">
      <c r="A294">
        <v>277</v>
      </c>
      <c r="B294" s="9">
        <f t="shared" si="28"/>
        <v>4.8345620280242931</v>
      </c>
      <c r="D294" s="13">
        <f t="shared" si="25"/>
        <v>-0.57567676795196676</v>
      </c>
      <c r="E294" s="13">
        <f t="shared" si="26"/>
        <v>6.7028138872831225E-2</v>
      </c>
      <c r="H294" s="13">
        <f t="shared" si="29"/>
        <v>0.56250224756195355</v>
      </c>
      <c r="I294" s="13">
        <f t="shared" si="27"/>
        <v>-0.25499816490999455</v>
      </c>
    </row>
    <row r="295" spans="1:9" x14ac:dyDescent="0.25">
      <c r="A295">
        <v>278</v>
      </c>
      <c r="B295" s="9">
        <f t="shared" si="28"/>
        <v>4.8520153205442362</v>
      </c>
      <c r="D295" s="13">
        <f t="shared" si="25"/>
        <v>-0.57435547987011082</v>
      </c>
      <c r="E295" s="13">
        <f t="shared" si="26"/>
        <v>7.6545205528036009E-2</v>
      </c>
      <c r="H295" s="13">
        <f t="shared" si="29"/>
        <v>0.5547761988007549</v>
      </c>
      <c r="I295" s="13">
        <f t="shared" si="27"/>
        <v>-0.2607103037786187</v>
      </c>
    </row>
    <row r="296" spans="1:9" x14ac:dyDescent="0.25">
      <c r="A296">
        <v>279</v>
      </c>
      <c r="B296" s="9">
        <f t="shared" si="28"/>
        <v>4.8694686130641793</v>
      </c>
      <c r="D296" s="13">
        <f t="shared" si="25"/>
        <v>-0.57285923754517987</v>
      </c>
      <c r="E296" s="13">
        <f t="shared" si="26"/>
        <v>8.6038955772126877E-2</v>
      </c>
      <c r="H296" s="13">
        <f t="shared" si="29"/>
        <v>0.54694444710110957</v>
      </c>
      <c r="I296" s="13">
        <f t="shared" si="27"/>
        <v>-0.26628109367837183</v>
      </c>
    </row>
    <row r="297" spans="1:9" x14ac:dyDescent="0.25">
      <c r="A297">
        <v>280</v>
      </c>
      <c r="B297" s="9">
        <f t="shared" si="28"/>
        <v>4.8869219055841224</v>
      </c>
      <c r="D297" s="13">
        <f t="shared" si="25"/>
        <v>-0.57118849674708072</v>
      </c>
      <c r="E297" s="13">
        <f t="shared" si="26"/>
        <v>9.5506497716811495E-2</v>
      </c>
      <c r="H297" s="13">
        <f t="shared" si="29"/>
        <v>0.53900937809045302</v>
      </c>
      <c r="I297" s="13">
        <f t="shared" si="27"/>
        <v>-0.27170883769268522</v>
      </c>
    </row>
    <row r="298" spans="1:9" x14ac:dyDescent="0.25">
      <c r="A298">
        <v>281</v>
      </c>
      <c r="B298" s="9">
        <f t="shared" si="28"/>
        <v>4.9043751981040664</v>
      </c>
      <c r="D298" s="13">
        <f t="shared" si="25"/>
        <v>-0.56934376639964501</v>
      </c>
      <c r="E298" s="13">
        <f t="shared" si="26"/>
        <v>0.10494494745709981</v>
      </c>
      <c r="H298" s="13">
        <f t="shared" si="29"/>
        <v>0.53097340886767441</v>
      </c>
      <c r="I298" s="13">
        <f t="shared" si="27"/>
        <v>-0.27699188247815254</v>
      </c>
    </row>
    <row r="299" spans="1:9" x14ac:dyDescent="0.25">
      <c r="A299">
        <v>282</v>
      </c>
      <c r="B299" s="9">
        <f t="shared" si="28"/>
        <v>4.9218284906240095</v>
      </c>
      <c r="D299" s="13">
        <f t="shared" si="25"/>
        <v>-0.5673256084256072</v>
      </c>
      <c r="E299" s="13">
        <f t="shared" si="26"/>
        <v>0.1143514299497677</v>
      </c>
      <c r="H299" s="13">
        <f t="shared" si="29"/>
        <v>0.52283898726684574</v>
      </c>
      <c r="I299" s="13">
        <f t="shared" si="27"/>
        <v>-0.28212861876815354</v>
      </c>
    </row>
    <row r="300" spans="1:9" x14ac:dyDescent="0.25">
      <c r="A300">
        <v>283</v>
      </c>
      <c r="B300" s="9">
        <f t="shared" si="28"/>
        <v>4.9392817831439526</v>
      </c>
      <c r="D300" s="13">
        <f t="shared" si="25"/>
        <v>-0.56513463757543636</v>
      </c>
      <c r="E300" s="13">
        <f t="shared" si="26"/>
        <v>0.12372307988912572</v>
      </c>
      <c r="H300" s="13">
        <f t="shared" si="29"/>
        <v>0.51460859111158641</v>
      </c>
      <c r="I300" s="13">
        <f t="shared" si="27"/>
        <v>-0.28711748186305397</v>
      </c>
    </row>
    <row r="301" spans="1:9" x14ac:dyDescent="0.25">
      <c r="A301">
        <v>284</v>
      </c>
      <c r="B301" s="9">
        <f t="shared" si="28"/>
        <v>4.9567350756638957</v>
      </c>
      <c r="D301" s="13">
        <f t="shared" si="25"/>
        <v>-0.56277152124007801</v>
      </c>
      <c r="E301" s="13">
        <f t="shared" si="26"/>
        <v>0.1330570425798171</v>
      </c>
      <c r="H301" s="13">
        <f t="shared" si="29"/>
        <v>0.50628472746029496</v>
      </c>
      <c r="I301" s="13">
        <f t="shared" si="27"/>
        <v>-0.29195695210682687</v>
      </c>
    </row>
    <row r="302" spans="1:9" x14ac:dyDescent="0.25">
      <c r="A302">
        <v>285</v>
      </c>
      <c r="B302" s="9">
        <f t="shared" si="28"/>
        <v>4.9741883681838388</v>
      </c>
      <c r="D302" s="13">
        <f t="shared" si="25"/>
        <v>-0.56023697924765969</v>
      </c>
      <c r="E302" s="13">
        <f t="shared" si="26"/>
        <v>0.14235047480638618</v>
      </c>
      <c r="H302" s="13">
        <f t="shared" si="29"/>
        <v>0.4978699318424743</v>
      </c>
      <c r="I302" s="13">
        <f t="shared" si="27"/>
        <v>-0.29664555534995507</v>
      </c>
    </row>
    <row r="303" spans="1:9" x14ac:dyDescent="0.25">
      <c r="A303">
        <v>286</v>
      </c>
      <c r="B303" s="9">
        <f t="shared" si="28"/>
        <v>4.9916416607037828</v>
      </c>
      <c r="D303" s="13">
        <f t="shared" si="25"/>
        <v>-0.55753178364422484</v>
      </c>
      <c r="E303" s="13">
        <f t="shared" si="26"/>
        <v>0.15160054569934966</v>
      </c>
      <c r="H303" s="13">
        <f t="shared" si="29"/>
        <v>0.48936676748638541</v>
      </c>
      <c r="I303" s="13">
        <f t="shared" si="27"/>
        <v>-0.30118186339847131</v>
      </c>
    </row>
    <row r="304" spans="1:9" x14ac:dyDescent="0.25">
      <c r="A304">
        <v>287</v>
      </c>
      <c r="B304" s="9">
        <f t="shared" si="28"/>
        <v>5.0090949532237259</v>
      </c>
      <c r="D304" s="13">
        <f t="shared" si="25"/>
        <v>-0.55465675845856055</v>
      </c>
      <c r="E304" s="13">
        <f t="shared" si="26"/>
        <v>0.16080443759750521</v>
      </c>
      <c r="H304" s="13">
        <f t="shared" si="29"/>
        <v>0.48077782453826401</v>
      </c>
      <c r="I304" s="13">
        <f t="shared" si="27"/>
        <v>-0.30556449444899936</v>
      </c>
    </row>
    <row r="305" spans="1:9" x14ac:dyDescent="0.25">
      <c r="A305">
        <v>288</v>
      </c>
      <c r="B305" s="9">
        <f t="shared" si="28"/>
        <v>5.026548245743669</v>
      </c>
      <c r="D305" s="13">
        <f t="shared" si="25"/>
        <v>-0.55161277945118903</v>
      </c>
      <c r="E305" s="13">
        <f t="shared" si="26"/>
        <v>0.169959346906221</v>
      </c>
      <c r="H305" s="13">
        <f t="shared" si="29"/>
        <v>0.47210571927333456</v>
      </c>
      <c r="I305" s="13">
        <f t="shared" si="27"/>
        <v>-0.30979211350966596</v>
      </c>
    </row>
    <row r="306" spans="1:9" x14ac:dyDescent="0.25">
      <c r="A306">
        <v>289</v>
      </c>
      <c r="B306" s="9">
        <f t="shared" si="28"/>
        <v>5.0440015382636121</v>
      </c>
      <c r="D306" s="13">
        <f t="shared" si="25"/>
        <v>-0.54840077384760377</v>
      </c>
      <c r="E306" s="13">
        <f t="shared" si="26"/>
        <v>0.17906248495143598</v>
      </c>
      <c r="H306" s="13">
        <f t="shared" si="29"/>
        <v>0.46335309329886942</v>
      </c>
      <c r="I306" s="13">
        <f t="shared" si="27"/>
        <v>-0.31386343280675155</v>
      </c>
    </row>
    <row r="307" spans="1:9" x14ac:dyDescent="0.25">
      <c r="A307">
        <v>290</v>
      </c>
      <c r="B307" s="9">
        <f t="shared" si="28"/>
        <v>5.0614548307835561</v>
      </c>
      <c r="D307" s="13">
        <f t="shared" si="25"/>
        <v>-0.54502172005582683</v>
      </c>
      <c r="E307" s="13">
        <f t="shared" si="26"/>
        <v>0.18811107882911796</v>
      </c>
      <c r="H307" s="13">
        <f t="shared" si="29"/>
        <v>0.45452261274952843</v>
      </c>
      <c r="I307" s="13">
        <f t="shared" si="27"/>
        <v>-0.31777721217695853</v>
      </c>
    </row>
    <row r="308" spans="1:9" x14ac:dyDescent="0.25">
      <c r="A308">
        <v>291</v>
      </c>
      <c r="B308" s="9">
        <f t="shared" si="28"/>
        <v>5.0789081233034992</v>
      </c>
      <c r="D308" s="13">
        <f t="shared" si="25"/>
        <v>-0.54147664736837697</v>
      </c>
      <c r="E308" s="13">
        <f t="shared" si="26"/>
        <v>0.19710237224991523</v>
      </c>
      <c r="H308" s="13">
        <f t="shared" si="29"/>
        <v>0.44561696747523061</v>
      </c>
      <c r="I308" s="13">
        <f t="shared" si="27"/>
        <v>-0.3215322594451766</v>
      </c>
    </row>
    <row r="309" spans="1:9" x14ac:dyDescent="0.25">
      <c r="A309">
        <v>292</v>
      </c>
      <c r="B309" s="9">
        <f t="shared" si="28"/>
        <v>5.0963614158234423</v>
      </c>
      <c r="D309" s="13">
        <f t="shared" si="25"/>
        <v>-0.53776663564873672</v>
      </c>
      <c r="E309" s="13">
        <f t="shared" si="26"/>
        <v>0.20603362637875158</v>
      </c>
      <c r="H309" s="13">
        <f t="shared" si="29"/>
        <v>0.43663887022179715</v>
      </c>
      <c r="I309" s="13">
        <f t="shared" si="27"/>
        <v>-0.32512743078763218</v>
      </c>
    </row>
    <row r="310" spans="1:9" x14ac:dyDescent="0.25">
      <c r="A310">
        <v>293</v>
      </c>
      <c r="B310" s="9">
        <f t="shared" si="28"/>
        <v>5.1138147083433854</v>
      </c>
      <c r="D310" s="13">
        <f t="shared" si="25"/>
        <v>-0.53389281500241548</v>
      </c>
      <c r="E310" s="13">
        <f t="shared" si="26"/>
        <v>0.21490212066910044</v>
      </c>
      <c r="H310" s="13">
        <f t="shared" si="29"/>
        <v>0.42759105580462403</v>
      </c>
      <c r="I310" s="13">
        <f t="shared" si="27"/>
        <v>-0.32856163108030723</v>
      </c>
    </row>
    <row r="311" spans="1:9" x14ac:dyDescent="0.25">
      <c r="A311">
        <v>294</v>
      </c>
      <c r="B311" s="9">
        <f t="shared" si="28"/>
        <v>5.1312680008633285</v>
      </c>
      <c r="D311" s="13">
        <f t="shared" si="25"/>
        <v>-0.52985636543270864</v>
      </c>
      <c r="E311" s="13">
        <f t="shared" si="26"/>
        <v>0.22370515369168989</v>
      </c>
      <c r="H311" s="13">
        <f t="shared" si="29"/>
        <v>0.41847628027563094</v>
      </c>
      <c r="I311" s="13">
        <f t="shared" si="27"/>
        <v>-0.33183381423252478</v>
      </c>
    </row>
    <row r="312" spans="1:9" x14ac:dyDescent="0.25">
      <c r="A312">
        <v>295</v>
      </c>
      <c r="B312" s="9">
        <f t="shared" si="28"/>
        <v>5.1487212933832724</v>
      </c>
      <c r="D312" s="13">
        <f t="shared" si="25"/>
        <v>-0.52565851648125694</v>
      </c>
      <c r="E312" s="13">
        <f t="shared" si="26"/>
        <v>0.2324400439573848</v>
      </c>
      <c r="H312" s="13">
        <f t="shared" si="29"/>
        <v>0.40929732008374042</v>
      </c>
      <c r="I312" s="13">
        <f t="shared" si="27"/>
        <v>-0.33494298350559826</v>
      </c>
    </row>
    <row r="313" spans="1:9" x14ac:dyDescent="0.25">
      <c r="A313">
        <v>296</v>
      </c>
      <c r="B313" s="9">
        <f t="shared" si="28"/>
        <v>5.1661745859032155</v>
      </c>
      <c r="D313" s="13">
        <f t="shared" si="25"/>
        <v>-0.5213005468535169</v>
      </c>
      <c r="E313" s="13">
        <f t="shared" si="26"/>
        <v>0.24110413073399259</v>
      </c>
      <c r="H313" s="13">
        <f t="shared" si="29"/>
        <v>0.40005697122914641</v>
      </c>
      <c r="I313" s="13">
        <f t="shared" si="27"/>
        <v>-0.3378881918164478</v>
      </c>
    </row>
    <row r="314" spans="1:9" x14ac:dyDescent="0.25">
      <c r="A314">
        <v>297</v>
      </c>
      <c r="B314" s="9">
        <f t="shared" si="28"/>
        <v>5.1836278784231586</v>
      </c>
      <c r="D314" s="13">
        <f t="shared" si="25"/>
        <v>-0.51678378402925329</v>
      </c>
      <c r="E314" s="13">
        <f t="shared" si="26"/>
        <v>0.24969477485675068</v>
      </c>
      <c r="H314" s="13">
        <f t="shared" si="29"/>
        <v>0.39075804841162254</v>
      </c>
      <c r="I314" s="13">
        <f t="shared" si="27"/>
        <v>-0.34066854202609098</v>
      </c>
    </row>
    <row r="315" spans="1:9" x14ac:dyDescent="0.25">
      <c r="A315">
        <v>298</v>
      </c>
      <c r="B315" s="9">
        <f t="shared" si="28"/>
        <v>5.2010811709431017</v>
      </c>
      <c r="D315" s="13">
        <f t="shared" si="25"/>
        <v>-0.51210960385817772</v>
      </c>
      <c r="E315" s="13">
        <f t="shared" si="26"/>
        <v>0.25820935953223972</v>
      </c>
      <c r="H315" s="13">
        <f t="shared" si="29"/>
        <v>0.38140338417314024</v>
      </c>
      <c r="I315" s="13">
        <f t="shared" si="27"/>
        <v>-0.34328318721292028</v>
      </c>
    </row>
    <row r="316" spans="1:9" x14ac:dyDescent="0.25">
      <c r="A316">
        <v>299</v>
      </c>
      <c r="B316" s="9">
        <f t="shared" si="28"/>
        <v>5.2185344634630457</v>
      </c>
      <c r="D316" s="13">
        <f t="shared" si="25"/>
        <v>-0.50727943014084942</v>
      </c>
      <c r="E316" s="13">
        <f t="shared" si="26"/>
        <v>0.26664529113548552</v>
      </c>
      <c r="H316" s="13">
        <f t="shared" si="29"/>
        <v>0.37199582803504638</v>
      </c>
      <c r="I316" s="13">
        <f t="shared" si="27"/>
        <v>-0.34573133093068331</v>
      </c>
    </row>
    <row r="317" spans="1:9" x14ac:dyDescent="0.25">
      <c r="A317">
        <v>300</v>
      </c>
      <c r="B317" s="9">
        <f t="shared" si="28"/>
        <v>5.2359877559829888</v>
      </c>
      <c r="D317" s="13">
        <f t="shared" si="25"/>
        <v>-0.50229473419497439</v>
      </c>
      <c r="E317" s="13">
        <f t="shared" si="26"/>
        <v>0.27500000000000008</v>
      </c>
      <c r="H317" s="13">
        <f t="shared" si="29"/>
        <v>0.36253824563007475</v>
      </c>
      <c r="I317" s="13">
        <f t="shared" si="27"/>
        <v>-0.34801222745108762</v>
      </c>
    </row>
    <row r="318" spans="1:9" x14ac:dyDescent="0.25">
      <c r="A318">
        <v>301</v>
      </c>
      <c r="B318" s="9">
        <f t="shared" si="28"/>
        <v>5.2534410485029319</v>
      </c>
      <c r="D318" s="13">
        <f t="shared" si="25"/>
        <v>-0.49715703440722514</v>
      </c>
      <c r="E318" s="13">
        <f t="shared" si="26"/>
        <v>0.28327094120052981</v>
      </c>
      <c r="H318" s="13">
        <f t="shared" si="29"/>
        <v>0.35303351782944303</v>
      </c>
      <c r="I318" s="13">
        <f t="shared" si="27"/>
        <v>-0.35012518199095755</v>
      </c>
    </row>
    <row r="319" spans="1:9" x14ac:dyDescent="0.25">
      <c r="A319">
        <v>302</v>
      </c>
      <c r="B319" s="9">
        <f t="shared" si="28"/>
        <v>5.270894341022875</v>
      </c>
      <c r="D319" s="13">
        <f t="shared" si="25"/>
        <v>-0.49186789577072715</v>
      </c>
      <c r="E319" s="13">
        <f t="shared" si="26"/>
        <v>0.2914555953282626</v>
      </c>
      <c r="H319" s="13">
        <f t="shared" si="29"/>
        <v>0.34348453986531369</v>
      </c>
      <c r="I319" s="13">
        <f t="shared" si="27"/>
        <v>-0.35206955092387171</v>
      </c>
    </row>
    <row r="320" spans="1:9" x14ac:dyDescent="0.25">
      <c r="A320">
        <v>303</v>
      </c>
      <c r="B320" s="9">
        <f t="shared" si="28"/>
        <v>5.2883476335428181</v>
      </c>
      <c r="D320" s="13">
        <f t="shared" si="25"/>
        <v>-0.48642892940834603</v>
      </c>
      <c r="E320" s="13">
        <f t="shared" si="26"/>
        <v>0.2995514692582647</v>
      </c>
      <c r="H320" s="13">
        <f t="shared" si="29"/>
        <v>0.33389422044887757</v>
      </c>
      <c r="I320" s="13">
        <f t="shared" si="27"/>
        <v>-0.35384474197621762</v>
      </c>
    </row>
    <row r="321" spans="1:9" x14ac:dyDescent="0.25">
      <c r="A321">
        <v>304</v>
      </c>
      <c r="B321" s="9">
        <f t="shared" si="28"/>
        <v>5.3058009260627621</v>
      </c>
      <c r="D321" s="13">
        <f t="shared" si="25"/>
        <v>-0.48084179208192412</v>
      </c>
      <c r="E321" s="13">
        <f t="shared" si="26"/>
        <v>0.30755609690891089</v>
      </c>
      <c r="H321" s="13">
        <f t="shared" si="29"/>
        <v>0.32426548088433205</v>
      </c>
      <c r="I321" s="13">
        <f t="shared" si="27"/>
        <v>-0.35545021440760416</v>
      </c>
    </row>
    <row r="322" spans="1:9" x14ac:dyDescent="0.25">
      <c r="A322">
        <v>305</v>
      </c>
      <c r="B322" s="9">
        <f t="shared" si="28"/>
        <v>5.3232542185827052</v>
      </c>
      <c r="D322" s="13">
        <f t="shared" si="25"/>
        <v>-0.4751081856876152</v>
      </c>
      <c r="E322" s="13">
        <f t="shared" si="26"/>
        <v>0.31546703999307535</v>
      </c>
      <c r="H322" s="13">
        <f t="shared" si="29"/>
        <v>0.31460125417902507</v>
      </c>
      <c r="I322" s="13">
        <f t="shared" si="27"/>
        <v>-0.356885479175576</v>
      </c>
    </row>
    <row r="323" spans="1:9" x14ac:dyDescent="0.25">
      <c r="A323">
        <v>306</v>
      </c>
      <c r="B323" s="9">
        <f t="shared" si="28"/>
        <v>5.3407075111026483</v>
      </c>
      <c r="D323" s="13">
        <f t="shared" si="25"/>
        <v>-0.46922985673746953</v>
      </c>
      <c r="E323" s="13">
        <f t="shared" si="26"/>
        <v>0.32328188876086011</v>
      </c>
      <c r="H323" s="13">
        <f t="shared" si="29"/>
        <v>0.30490448415003008</v>
      </c>
      <c r="I323" s="13">
        <f t="shared" si="27"/>
        <v>-0.35815009908458117</v>
      </c>
    </row>
    <row r="324" spans="1:9" x14ac:dyDescent="0.25">
      <c r="A324">
        <v>307</v>
      </c>
      <c r="B324" s="9">
        <f t="shared" si="28"/>
        <v>5.3581608036225914</v>
      </c>
      <c r="D324" s="13">
        <f t="shared" si="25"/>
        <v>-0.46320859582742996</v>
      </c>
      <c r="E324" s="13">
        <f t="shared" si="26"/>
        <v>0.33099826273362637</v>
      </c>
      <c r="H324" s="13">
        <f t="shared" si="29"/>
        <v>0.29517812452743264</v>
      </c>
      <c r="I324" s="13">
        <f t="shared" si="27"/>
        <v>-0.35924368891914471</v>
      </c>
    </row>
    <row r="325" spans="1:9" x14ac:dyDescent="0.25">
      <c r="A325">
        <v>308</v>
      </c>
      <c r="B325" s="9">
        <f t="shared" si="28"/>
        <v>5.3756140961425354</v>
      </c>
      <c r="D325" s="13">
        <f t="shared" si="25"/>
        <v>-0.45704623709189862</v>
      </c>
      <c r="E325" s="13">
        <f t="shared" si="26"/>
        <v>0.33861381142911223</v>
      </c>
      <c r="H325" s="13">
        <f t="shared" si="29"/>
        <v>0.28542513805459457</v>
      </c>
      <c r="I325" s="13">
        <f t="shared" si="27"/>
        <v>-0.36016591556120936</v>
      </c>
    </row>
    <row r="326" spans="1:9" x14ac:dyDescent="0.25">
      <c r="A326">
        <v>309</v>
      </c>
      <c r="B326" s="9">
        <f t="shared" si="28"/>
        <v>5.3930673886624785</v>
      </c>
      <c r="D326" s="13">
        <f t="shared" si="25"/>
        <v>-0.45074465764504301</v>
      </c>
      <c r="E326" s="13">
        <f t="shared" si="26"/>
        <v>0.34612621507741065</v>
      </c>
      <c r="H326" s="13">
        <f t="shared" si="29"/>
        <v>0.27564849558567589</v>
      </c>
      <c r="I326" s="13">
        <f t="shared" si="27"/>
        <v>-0.36091649809160564</v>
      </c>
    </row>
    <row r="327" spans="1:9" x14ac:dyDescent="0.25">
      <c r="A327">
        <v>310</v>
      </c>
      <c r="B327" s="9">
        <f t="shared" si="28"/>
        <v>5.4105206811824216</v>
      </c>
      <c r="D327" s="13">
        <f t="shared" si="25"/>
        <v>-0.44430577700900731</v>
      </c>
      <c r="E327" s="13">
        <f t="shared" si="26"/>
        <v>0.35353318532759664</v>
      </c>
      <c r="H327" s="13">
        <f t="shared" si="29"/>
        <v>0.26585117518068069</v>
      </c>
      <c r="I327" s="13">
        <f t="shared" si="27"/>
        <v>-0.36149520787562439</v>
      </c>
    </row>
    <row r="328" spans="1:9" x14ac:dyDescent="0.25">
      <c r="A328">
        <v>311</v>
      </c>
      <c r="B328" s="9">
        <f t="shared" si="28"/>
        <v>5.4279739737023647</v>
      </c>
      <c r="D328" s="13">
        <f t="shared" si="25"/>
        <v>-0.43773155652920787</v>
      </c>
      <c r="E328" s="13">
        <f t="shared" si="26"/>
        <v>0.36083246594477891</v>
      </c>
      <c r="H328" s="13">
        <f t="shared" si="29"/>
        <v>0.25603616119831285</v>
      </c>
      <c r="I328" s="13">
        <f t="shared" si="27"/>
        <v>-0.36190186863265883</v>
      </c>
    </row>
    <row r="329" spans="1:9" x14ac:dyDescent="0.25">
      <c r="A329">
        <v>312</v>
      </c>
      <c r="B329" s="9">
        <f t="shared" si="28"/>
        <v>5.4454272662223078</v>
      </c>
      <c r="D329" s="13">
        <f t="shared" si="25"/>
        <v>-0.43102399877688885</v>
      </c>
      <c r="E329" s="13">
        <f t="shared" si="26"/>
        <v>0.36802183349737183</v>
      </c>
      <c r="H329" s="13">
        <f t="shared" si="29"/>
        <v>0.24620644338691169</v>
      </c>
      <c r="I329" s="13">
        <f t="shared" si="27"/>
        <v>-0.36213635648990317</v>
      </c>
    </row>
    <row r="330" spans="1:9" x14ac:dyDescent="0.25">
      <c r="A330">
        <v>313</v>
      </c>
      <c r="B330" s="9">
        <f t="shared" si="28"/>
        <v>5.4628805587422518</v>
      </c>
      <c r="D330" s="13">
        <f t="shared" si="25"/>
        <v>-0.4241851469391188</v>
      </c>
      <c r="E330" s="13">
        <f t="shared" si="26"/>
        <v>0.37509909803437425</v>
      </c>
      <c r="H330" s="13">
        <f t="shared" si="29"/>
        <v>0.23636501597374479</v>
      </c>
      <c r="I330" s="13">
        <f t="shared" si="27"/>
        <v>-0.36219860002008442</v>
      </c>
    </row>
    <row r="331" spans="1:9" x14ac:dyDescent="0.25">
      <c r="A331">
        <v>314</v>
      </c>
      <c r="B331" s="9">
        <f t="shared" si="28"/>
        <v>5.4803338512621949</v>
      </c>
      <c r="D331" s="13">
        <f t="shared" si="25"/>
        <v>-0.41721708419641768</v>
      </c>
      <c r="E331" s="13">
        <f t="shared" si="26"/>
        <v>0.38206210375244853</v>
      </c>
      <c r="H331" s="13">
        <f t="shared" si="29"/>
        <v>0.22651487675293916</v>
      </c>
      <c r="I331" s="13">
        <f t="shared" si="27"/>
        <v>-0.36208858026322044</v>
      </c>
    </row>
    <row r="332" spans="1:9" x14ac:dyDescent="0.25">
      <c r="A332">
        <v>315</v>
      </c>
      <c r="B332" s="9">
        <f t="shared" si="28"/>
        <v>5.497787143782138</v>
      </c>
      <c r="D332" s="13">
        <f t="shared" si="25"/>
        <v>-0.41012193308819761</v>
      </c>
      <c r="E332" s="13">
        <f t="shared" si="26"/>
        <v>0.38890872965260109</v>
      </c>
      <c r="H332" s="13">
        <f t="shared" si="29"/>
        <v>0.21665902617232133</v>
      </c>
      <c r="I332" s="13">
        <f t="shared" si="27"/>
        <v>-0.36180633073239488</v>
      </c>
    </row>
    <row r="333" spans="1:9" x14ac:dyDescent="0.25">
      <c r="A333">
        <v>316</v>
      </c>
      <c r="B333" s="9">
        <f t="shared" si="28"/>
        <v>5.5152404363020811</v>
      </c>
      <c r="D333" s="13">
        <f t="shared" si="25"/>
        <v>-0.40290185486621855</v>
      </c>
      <c r="E333" s="13">
        <f t="shared" si="26"/>
        <v>0.39563689018625803</v>
      </c>
      <c r="H333" s="13">
        <f t="shared" si="29"/>
        <v>0.20680046641945396</v>
      </c>
      <c r="I333" s="13">
        <f t="shared" si="27"/>
        <v>-0.36135193740354921</v>
      </c>
    </row>
    <row r="334" spans="1:9" x14ac:dyDescent="0.25">
      <c r="A334">
        <v>317</v>
      </c>
      <c r="B334" s="9">
        <f t="shared" si="28"/>
        <v>5.532693728822025</v>
      </c>
      <c r="D334" s="13">
        <f t="shared" si="25"/>
        <v>-0.39555904883624898</v>
      </c>
      <c r="E334" s="13">
        <f t="shared" si="26"/>
        <v>0.40224453589054393</v>
      </c>
      <c r="H334" s="13">
        <f t="shared" si="29"/>
        <v>0.19694220050713937</v>
      </c>
      <c r="I334" s="13">
        <f t="shared" si="27"/>
        <v>-0.36072553868929291</v>
      </c>
    </row>
    <row r="335" spans="1:9" x14ac:dyDescent="0.25">
      <c r="A335">
        <v>318</v>
      </c>
      <c r="B335" s="9">
        <f t="shared" si="28"/>
        <v>5.5501470213419681</v>
      </c>
      <c r="D335" s="13">
        <f t="shared" si="25"/>
        <v>-0.3880957516881377</v>
      </c>
      <c r="E335" s="13">
        <f t="shared" si="26"/>
        <v>0.40872965401256689</v>
      </c>
      <c r="H335" s="13">
        <f t="shared" si="29"/>
        <v>0.18708723135867464</v>
      </c>
      <c r="I335" s="13">
        <f t="shared" si="27"/>
        <v>-0.35992732539674255</v>
      </c>
    </row>
    <row r="336" spans="1:9" x14ac:dyDescent="0.25">
      <c r="A336">
        <v>319</v>
      </c>
      <c r="B336" s="9">
        <f t="shared" si="28"/>
        <v>5.5676003138619112</v>
      </c>
      <c r="D336" s="13">
        <f t="shared" si="25"/>
        <v>-0.38051423681449426</v>
      </c>
      <c r="E336" s="13">
        <f t="shared" si="26"/>
        <v>0.41509026912252456</v>
      </c>
      <c r="H336" s="13">
        <f t="shared" si="29"/>
        <v>0.17723856089312898</v>
      </c>
      <c r="I336" s="13">
        <f t="shared" si="27"/>
        <v>-0.35895754066939967</v>
      </c>
    </row>
    <row r="337" spans="1:9" x14ac:dyDescent="0.25">
      <c r="A337">
        <v>320</v>
      </c>
      <c r="B337" s="9">
        <f t="shared" si="28"/>
        <v>5.5850536063818543</v>
      </c>
      <c r="D337" s="13">
        <f t="shared" si="25"/>
        <v>-0.37281681361819291</v>
      </c>
      <c r="E337" s="13">
        <f t="shared" si="26"/>
        <v>0.42132444371543781</v>
      </c>
      <c r="H337" s="13">
        <f t="shared" si="29"/>
        <v>0.16739918911093241</v>
      </c>
      <c r="I337" s="13">
        <f t="shared" si="27"/>
        <v>-0.35781647991308652</v>
      </c>
    </row>
    <row r="338" spans="1:9" x14ac:dyDescent="0.25">
      <c r="A338">
        <v>321</v>
      </c>
      <c r="B338" s="9">
        <f t="shared" si="28"/>
        <v>5.6025068989017974</v>
      </c>
      <c r="D338" s="13">
        <f t="shared" si="25"/>
        <v>-0.36500582680890592</v>
      </c>
      <c r="E338" s="13">
        <f t="shared" si="26"/>
        <v>0.42743027880133383</v>
      </c>
      <c r="H338" s="13">
        <f t="shared" si="29"/>
        <v>0.15757211318004602</v>
      </c>
      <c r="I338" s="13">
        <f t="shared" si="27"/>
        <v>-0.35650449070596324</v>
      </c>
    </row>
    <row r="339" spans="1:9" x14ac:dyDescent="0.25">
      <c r="A339">
        <v>322</v>
      </c>
      <c r="B339" s="9">
        <f t="shared" si="28"/>
        <v>5.6199601914217414</v>
      </c>
      <c r="D339" s="13">
        <f t="shared" si="25"/>
        <v>-0.35708365568888173</v>
      </c>
      <c r="E339" s="13">
        <f t="shared" si="26"/>
        <v>0.43340591448369714</v>
      </c>
      <c r="H339" s="13">
        <f t="shared" si="29"/>
        <v>0.14776032652299495</v>
      </c>
      <c r="I339" s="13">
        <f t="shared" si="27"/>
        <v>-0.35502197269265179</v>
      </c>
    </row>
    <row r="340" spans="1:9" x14ac:dyDescent="0.25">
      <c r="A340">
        <v>323</v>
      </c>
      <c r="B340" s="9">
        <f t="shared" si="28"/>
        <v>5.6374134839416845</v>
      </c>
      <c r="D340" s="13">
        <f t="shared" si="25"/>
        <v>-0.34905271342818794</v>
      </c>
      <c r="E340" s="13">
        <f t="shared" si="26"/>
        <v>0.43924953052601107</v>
      </c>
      <c r="H340" s="13">
        <f t="shared" si="29"/>
        <v>0.13796681790504464</v>
      </c>
      <c r="I340" s="13">
        <f t="shared" si="27"/>
        <v>-0.35336937746250063</v>
      </c>
    </row>
    <row r="341" spans="1:9" x14ac:dyDescent="0.25">
      <c r="A341">
        <v>324</v>
      </c>
      <c r="B341" s="9">
        <f t="shared" si="28"/>
        <v>5.6548667764616276</v>
      </c>
      <c r="D341" s="13">
        <f t="shared" ref="D341:D377" si="30">SIN(B341)*$B$6</f>
        <v>-0.3409154463296345</v>
      </c>
      <c r="E341" s="13">
        <f t="shared" ref="E341:E377" si="31">COS(B341)*$B$8</f>
        <v>0.44495934690622108</v>
      </c>
      <c r="H341" s="13">
        <f t="shared" si="29"/>
        <v>0.12819457052379157</v>
      </c>
      <c r="I341" s="13">
        <f t="shared" ref="I341:I377" si="32">D341*SIN($I$8)+E341*COS($I$8)+$N$8</f>
        <v>-0.35154720841202591</v>
      </c>
    </row>
    <row r="342" spans="1:9" x14ac:dyDescent="0.25">
      <c r="A342">
        <v>325</v>
      </c>
      <c r="B342" s="9">
        <f t="shared" ref="B342:B377" si="33">RADIANS(A342)</f>
        <v>5.6723200689815707</v>
      </c>
      <c r="D342" s="13">
        <f t="shared" si="30"/>
        <v>-0.33267433308360694</v>
      </c>
      <c r="E342" s="13">
        <f t="shared" si="31"/>
        <v>0.45053362435894539</v>
      </c>
      <c r="H342" s="13">
        <f t="shared" ref="H342:H377" si="34">D342*COS($I$8)-E342*SIN($I$8)+$N$6</f>
        <v>0.11844656110045401</v>
      </c>
      <c r="I342" s="13">
        <f t="shared" si="32"/>
        <v>-0.34955602059157198</v>
      </c>
    </row>
    <row r="343" spans="1:9" x14ac:dyDescent="0.25">
      <c r="A343">
        <v>326</v>
      </c>
      <c r="B343" s="9">
        <f t="shared" si="33"/>
        <v>5.6897733615015147</v>
      </c>
      <c r="D343" s="13">
        <f t="shared" si="30"/>
        <v>-0.32433188401303298</v>
      </c>
      <c r="E343" s="13">
        <f t="shared" si="31"/>
        <v>0.45597066490527305</v>
      </c>
      <c r="H343" s="13">
        <f t="shared" si="34"/>
        <v>0.1087257589731328</v>
      </c>
      <c r="I343" s="13">
        <f t="shared" si="32"/>
        <v>-0.34739642053623798</v>
      </c>
    </row>
    <row r="344" spans="1:9" x14ac:dyDescent="0.25">
      <c r="A344">
        <v>327</v>
      </c>
      <c r="B344" s="9">
        <f t="shared" si="33"/>
        <v>5.7072266540214578</v>
      </c>
      <c r="D344" s="13">
        <f t="shared" si="30"/>
        <v>-0.31589064030871561</v>
      </c>
      <c r="E344" s="13">
        <f t="shared" si="31"/>
        <v>0.46126881236998324</v>
      </c>
      <c r="H344" s="13">
        <f t="shared" si="34"/>
        <v>9.9035125192324519E-2</v>
      </c>
      <c r="I344" s="13">
        <f t="shared" si="32"/>
        <v>-0.34506906608112164</v>
      </c>
    </row>
    <row r="345" spans="1:9" x14ac:dyDescent="0.25">
      <c r="A345">
        <v>328</v>
      </c>
      <c r="B345" s="9">
        <f t="shared" si="33"/>
        <v>5.7246799465414009</v>
      </c>
      <c r="D345" s="13">
        <f t="shared" si="30"/>
        <v>-0.3073531732552589</v>
      </c>
      <c r="E345" s="13">
        <f t="shared" si="31"/>
        <v>0.46642645288603429</v>
      </c>
      <c r="H345" s="13">
        <f t="shared" si="34"/>
        <v>8.9377611618953551E-2</v>
      </c>
      <c r="I345" s="13">
        <f t="shared" si="32"/>
        <v>-0.34257466616093535</v>
      </c>
    </row>
    <row r="346" spans="1:9" x14ac:dyDescent="0.25">
      <c r="A346">
        <v>329</v>
      </c>
      <c r="B346" s="9">
        <f t="shared" si="33"/>
        <v>5.742133239061344</v>
      </c>
      <c r="D346" s="13">
        <f t="shared" si="30"/>
        <v>-0.29872208344783158</v>
      </c>
      <c r="E346" s="13">
        <f t="shared" si="31"/>
        <v>0.47144201538616171</v>
      </c>
      <c r="H346" s="13">
        <f t="shared" si="34"/>
        <v>7.97561600252088E-2</v>
      </c>
      <c r="I346" s="13">
        <f t="shared" si="32"/>
        <v>-0.33991398059405864</v>
      </c>
    </row>
    <row r="347" spans="1:9" x14ac:dyDescent="0.25">
      <c r="A347">
        <v>330</v>
      </c>
      <c r="B347" s="9">
        <f t="shared" si="33"/>
        <v>5.7595865315812871</v>
      </c>
      <c r="D347" s="13">
        <f t="shared" si="30"/>
        <v>-0.29000000000000026</v>
      </c>
      <c r="E347" s="13">
        <f t="shared" si="31"/>
        <v>0.47631397208144116</v>
      </c>
      <c r="H347" s="13">
        <f t="shared" si="34"/>
        <v>7.0173701198450733E-2</v>
      </c>
      <c r="I347" s="13">
        <f t="shared" si="32"/>
        <v>-0.33708781985108971</v>
      </c>
    </row>
    <row r="348" spans="1:9" x14ac:dyDescent="0.25">
      <c r="A348">
        <v>331</v>
      </c>
      <c r="B348" s="9">
        <f t="shared" si="33"/>
        <v>5.7770398241012311</v>
      </c>
      <c r="D348" s="13">
        <f t="shared" si="30"/>
        <v>-0.2811895797428754</v>
      </c>
      <c r="E348" s="13">
        <f t="shared" si="31"/>
        <v>0.48104083892666777</v>
      </c>
      <c r="H348" s="13">
        <f t="shared" si="34"/>
        <v>6.0633154048464977E-2</v>
      </c>
      <c r="I348" s="13">
        <f t="shared" si="32"/>
        <v>-0.33409704480796842</v>
      </c>
    </row>
    <row r="349" spans="1:9" x14ac:dyDescent="0.25">
      <c r="A349">
        <v>332</v>
      </c>
      <c r="B349" s="9">
        <f t="shared" si="33"/>
        <v>5.7944931166211742</v>
      </c>
      <c r="D349" s="13">
        <f t="shared" si="30"/>
        <v>-0.27229350641581662</v>
      </c>
      <c r="E349" s="13">
        <f t="shared" si="31"/>
        <v>0.48562117607240984</v>
      </c>
      <c r="H349" s="13">
        <f t="shared" si="34"/>
        <v>5.11374247183356E-2</v>
      </c>
      <c r="I349" s="13">
        <f t="shared" si="32"/>
        <v>-0.33094256648374554</v>
      </c>
    </row>
    <row r="350" spans="1:9" x14ac:dyDescent="0.25">
      <c r="A350">
        <v>333</v>
      </c>
      <c r="B350" s="9">
        <f t="shared" si="33"/>
        <v>5.8119464091411173</v>
      </c>
      <c r="D350" s="13">
        <f t="shared" si="30"/>
        <v>-0.26331448984893724</v>
      </c>
      <c r="E350" s="13">
        <f t="shared" si="31"/>
        <v>0.49005358830360235</v>
      </c>
      <c r="H350" s="13">
        <f t="shared" si="34"/>
        <v>4.1689405699203375E-2</v>
      </c>
      <c r="I350" s="13">
        <f t="shared" si="32"/>
        <v>-0.32762534576307656</v>
      </c>
    </row>
    <row r="351" spans="1:9" x14ac:dyDescent="0.25">
      <c r="A351">
        <v>334</v>
      </c>
      <c r="B351" s="9">
        <f t="shared" si="33"/>
        <v>5.8293997016610604</v>
      </c>
      <c r="D351" s="13">
        <f t="shared" si="30"/>
        <v>-0.25425526513766511</v>
      </c>
      <c r="E351" s="13">
        <f t="shared" si="31"/>
        <v>0.49433672546454177</v>
      </c>
      <c r="H351" s="13">
        <f t="shared" si="34"/>
        <v>3.2291974949186647E-2</v>
      </c>
      <c r="I351" s="13">
        <f t="shared" si="32"/>
        <v>-0.32414639310352755</v>
      </c>
    </row>
    <row r="352" spans="1:9" x14ac:dyDescent="0.25">
      <c r="A352">
        <v>335</v>
      </c>
      <c r="B352" s="9">
        <f t="shared" si="33"/>
        <v>5.8468529941810043</v>
      </c>
      <c r="D352" s="13">
        <f t="shared" si="30"/>
        <v>-0.24511859180960552</v>
      </c>
      <c r="E352" s="13">
        <f t="shared" si="31"/>
        <v>0.49846928287015757</v>
      </c>
      <c r="H352" s="13">
        <f t="shared" si="34"/>
        <v>2.2947995016726119E-2</v>
      </c>
      <c r="I352" s="13">
        <f t="shared" si="32"/>
        <v>-0.32050676822778001</v>
      </c>
    </row>
    <row r="353" spans="1:9" x14ac:dyDescent="0.25">
      <c r="A353">
        <v>336</v>
      </c>
      <c r="B353" s="9">
        <f t="shared" si="33"/>
        <v>5.8643062867009474</v>
      </c>
      <c r="D353" s="13">
        <f t="shared" si="30"/>
        <v>-0.23590725298396406</v>
      </c>
      <c r="E353" s="13">
        <f t="shared" si="31"/>
        <v>0.50245000170343057</v>
      </c>
      <c r="H353" s="13">
        <f t="shared" si="34"/>
        <v>1.3660312168627425E-2</v>
      </c>
      <c r="I353" s="13">
        <f t="shared" si="32"/>
        <v>-0.31670757980082909</v>
      </c>
    </row>
    <row r="354" spans="1:9" x14ac:dyDescent="0.25">
      <c r="A354">
        <v>337</v>
      </c>
      <c r="B354" s="9">
        <f t="shared" si="33"/>
        <v>5.8817595792208905</v>
      </c>
      <c r="D354" s="13">
        <f t="shared" si="30"/>
        <v>-0.22662405452377885</v>
      </c>
      <c r="E354" s="13">
        <f t="shared" si="31"/>
        <v>0.50627766939884222</v>
      </c>
      <c r="H354" s="13">
        <f t="shared" si="34"/>
        <v>4.4317555230574956E-3</v>
      </c>
      <c r="I354" s="13">
        <f t="shared" si="32"/>
        <v>-0.31274998509227314</v>
      </c>
    </row>
    <row r="355" spans="1:9" x14ac:dyDescent="0.25">
      <c r="A355">
        <v>338</v>
      </c>
      <c r="B355" s="9">
        <f t="shared" si="33"/>
        <v>5.8992128717408336</v>
      </c>
      <c r="D355" s="13">
        <f t="shared" si="30"/>
        <v>-0.21727182418122915</v>
      </c>
      <c r="E355" s="13">
        <f t="shared" si="31"/>
        <v>0.50995112001173304</v>
      </c>
      <c r="H355" s="13">
        <f t="shared" si="34"/>
        <v>-4.7348638122303999E-3</v>
      </c>
      <c r="I355" s="13">
        <f t="shared" si="32"/>
        <v>-0.30863518962379832</v>
      </c>
    </row>
    <row r="356" spans="1:9" x14ac:dyDescent="0.25">
      <c r="A356">
        <v>339</v>
      </c>
      <c r="B356" s="9">
        <f t="shared" si="33"/>
        <v>5.9166661642607767</v>
      </c>
      <c r="D356" s="13">
        <f t="shared" si="30"/>
        <v>-0.20785341073627442</v>
      </c>
      <c r="E356" s="13">
        <f t="shared" si="31"/>
        <v>0.51346923457346083</v>
      </c>
      <c r="H356" s="13">
        <f t="shared" si="34"/>
        <v>-1.3836753596187801E-2</v>
      </c>
      <c r="I356" s="13">
        <f t="shared" si="32"/>
        <v>-0.30436444680196528</v>
      </c>
    </row>
    <row r="357" spans="1:9" x14ac:dyDescent="0.25">
      <c r="A357">
        <v>340</v>
      </c>
      <c r="B357" s="9">
        <f t="shared" si="33"/>
        <v>5.9341194567807207</v>
      </c>
      <c r="D357" s="13">
        <f t="shared" si="30"/>
        <v>-0.19837168312888778</v>
      </c>
      <c r="E357" s="13">
        <f t="shared" si="31"/>
        <v>0.51683094143224972</v>
      </c>
      <c r="H357" s="13">
        <f t="shared" si="34"/>
        <v>-2.2871141305014941E-2</v>
      </c>
      <c r="I357" s="13">
        <f t="shared" si="32"/>
        <v>-0.29993905753640926</v>
      </c>
    </row>
    <row r="358" spans="1:9" x14ac:dyDescent="0.25">
      <c r="A358">
        <v>341</v>
      </c>
      <c r="B358" s="9">
        <f t="shared" si="33"/>
        <v>5.9515727493006638</v>
      </c>
      <c r="D358" s="13">
        <f t="shared" si="30"/>
        <v>-0.18882952958515087</v>
      </c>
      <c r="E358" s="13">
        <f t="shared" si="31"/>
        <v>0.52003521657962426</v>
      </c>
      <c r="H358" s="13">
        <f t="shared" si="34"/>
        <v>-3.1835274976696665E-2</v>
      </c>
      <c r="I358" s="13">
        <f t="shared" si="32"/>
        <v>-0.29536036984357034</v>
      </c>
    </row>
    <row r="359" spans="1:9" x14ac:dyDescent="0.25">
      <c r="A359">
        <v>342</v>
      </c>
      <c r="B359" s="9">
        <f t="shared" si="33"/>
        <v>5.9690260418206069</v>
      </c>
      <c r="D359" s="13">
        <f t="shared" si="30"/>
        <v>-0.17922985673746961</v>
      </c>
      <c r="E359" s="13">
        <f t="shared" si="31"/>
        <v>0.52308108396233444</v>
      </c>
      <c r="H359" s="13">
        <f t="shared" si="34"/>
        <v>-4.0726424049279564E-2</v>
      </c>
      <c r="I359" s="13">
        <f t="shared" si="32"/>
        <v>-0.2906297784360744</v>
      </c>
    </row>
    <row r="360" spans="1:9" x14ac:dyDescent="0.25">
      <c r="A360">
        <v>343</v>
      </c>
      <c r="B360" s="9">
        <f t="shared" si="33"/>
        <v>5.98647933434055</v>
      </c>
      <c r="D360" s="13">
        <f t="shared" si="30"/>
        <v>-0.16957558873918754</v>
      </c>
      <c r="E360" s="13">
        <f t="shared" si="31"/>
        <v>0.52596761577966944</v>
      </c>
      <c r="H360" s="13">
        <f t="shared" si="34"/>
        <v>-4.9541880192625648E-2</v>
      </c>
      <c r="I360" s="13">
        <f t="shared" si="32"/>
        <v>-0.28574872429789039</v>
      </c>
    </row>
    <row r="361" spans="1:9" x14ac:dyDescent="0.25">
      <c r="A361">
        <v>344</v>
      </c>
      <c r="B361" s="9">
        <f t="shared" si="33"/>
        <v>6.003932626860494</v>
      </c>
      <c r="D361" s="13">
        <f t="shared" si="30"/>
        <v>-0.15986966637385938</v>
      </c>
      <c r="E361" s="13">
        <f t="shared" si="31"/>
        <v>0.52869393276607546</v>
      </c>
      <c r="H361" s="13">
        <f t="shared" si="34"/>
        <v>-5.8278958133396813E-2</v>
      </c>
      <c r="I361" s="13">
        <f t="shared" si="32"/>
        <v>-0.28071869424539247</v>
      </c>
    </row>
    <row r="362" spans="1:9" x14ac:dyDescent="0.25">
      <c r="A362">
        <v>345</v>
      </c>
      <c r="B362" s="9">
        <f t="shared" si="33"/>
        <v>6.0213859193804371</v>
      </c>
      <c r="D362" s="13">
        <f t="shared" si="30"/>
        <v>-0.15011504615946197</v>
      </c>
      <c r="E362" s="13">
        <f t="shared" si="31"/>
        <v>0.53125920445898767</v>
      </c>
      <c r="H362" s="13">
        <f t="shared" si="34"/>
        <v>-6.6934996473013569E-2</v>
      </c>
      <c r="I362" s="13">
        <f t="shared" si="32"/>
        <v>-0.275541220474462</v>
      </c>
    </row>
    <row r="363" spans="1:9" x14ac:dyDescent="0.25">
      <c r="A363">
        <v>346</v>
      </c>
      <c r="B363" s="9">
        <f t="shared" si="33"/>
        <v>6.0388392119003802</v>
      </c>
      <c r="D363" s="13">
        <f t="shared" si="30"/>
        <v>-0.14031469944780736</v>
      </c>
      <c r="E363" s="13">
        <f t="shared" si="31"/>
        <v>0.53366264945179809</v>
      </c>
      <c r="H363" s="13">
        <f t="shared" si="34"/>
        <v>-7.5507358498344973E-2</v>
      </c>
      <c r="I363" s="13">
        <f t="shared" si="32"/>
        <v>-0.2702178800937648</v>
      </c>
    </row>
    <row r="364" spans="1:9" x14ac:dyDescent="0.25">
      <c r="A364">
        <v>347</v>
      </c>
      <c r="B364" s="9">
        <f t="shared" si="33"/>
        <v>6.0562925044203233</v>
      </c>
      <c r="D364" s="13">
        <f t="shared" si="30"/>
        <v>-0.13047161151944189</v>
      </c>
      <c r="E364" s="13">
        <f t="shared" si="31"/>
        <v>0.53590353563187931</v>
      </c>
      <c r="H364" s="13">
        <f t="shared" si="34"/>
        <v>-8.3993432984875854E-2</v>
      </c>
      <c r="I364" s="13">
        <f t="shared" si="32"/>
        <v>-0.26475029464434907</v>
      </c>
    </row>
    <row r="365" spans="1:9" x14ac:dyDescent="0.25">
      <c r="A365">
        <v>348</v>
      </c>
      <c r="B365" s="9">
        <f t="shared" si="33"/>
        <v>6.0737457969402664</v>
      </c>
      <c r="D365" s="13">
        <f t="shared" si="30"/>
        <v>-0.12058878067430072</v>
      </c>
      <c r="E365" s="13">
        <f t="shared" si="31"/>
        <v>0.53798118040359311</v>
      </c>
      <c r="H365" s="13">
        <f t="shared" si="34"/>
        <v>-9.2390634992111281E-2</v>
      </c>
      <c r="I365" s="13">
        <f t="shared" si="32"/>
        <v>-0.25914012960570854</v>
      </c>
    </row>
    <row r="366" spans="1:9" x14ac:dyDescent="0.25">
      <c r="A366">
        <v>349</v>
      </c>
      <c r="B366" s="9">
        <f t="shared" si="33"/>
        <v>6.0911990894602104</v>
      </c>
      <c r="D366" s="13">
        <f t="shared" si="30"/>
        <v>-0.11066921731839589</v>
      </c>
      <c r="E366" s="13">
        <f t="shared" si="31"/>
        <v>0.5398949508962152</v>
      </c>
      <c r="H366" s="13">
        <f t="shared" si="34"/>
        <v>-0.10069640665097454</v>
      </c>
      <c r="I366" s="13">
        <f t="shared" si="32"/>
        <v>-0.25338909388846043</v>
      </c>
    </row>
    <row r="367" spans="1:9" x14ac:dyDescent="0.25">
      <c r="A367">
        <v>350</v>
      </c>
      <c r="B367" s="9">
        <f t="shared" si="33"/>
        <v>6.1086523819801535</v>
      </c>
      <c r="D367" s="13">
        <f t="shared" si="30"/>
        <v>-0.10071594304681962</v>
      </c>
      <c r="E367" s="13">
        <f t="shared" si="31"/>
        <v>0.54164426415671441</v>
      </c>
      <c r="H367" s="13">
        <f t="shared" si="34"/>
        <v>-0.10890821794295794</v>
      </c>
      <c r="I367" s="13">
        <f t="shared" si="32"/>
        <v>-0.24749893931379641</v>
      </c>
    </row>
    <row r="368" spans="1:9" x14ac:dyDescent="0.25">
      <c r="A368">
        <v>351</v>
      </c>
      <c r="B368" s="9">
        <f t="shared" si="33"/>
        <v>6.1261056745000966</v>
      </c>
      <c r="D368" s="13">
        <f t="shared" si="30"/>
        <v>-9.0731989723334044E-2</v>
      </c>
      <c r="E368" s="13">
        <f t="shared" si="31"/>
        <v>0.54322858732732571</v>
      </c>
      <c r="H368" s="13">
        <f t="shared" si="34"/>
        <v>-0.11702356747079254</v>
      </c>
      <c r="I368" s="13">
        <f t="shared" si="32"/>
        <v>-0.24147146007985876</v>
      </c>
    </row>
    <row r="369" spans="1:9" x14ac:dyDescent="0.25">
      <c r="A369">
        <v>352</v>
      </c>
      <c r="B369" s="9">
        <f t="shared" si="33"/>
        <v>6.1435589670200397</v>
      </c>
      <c r="D369" s="13">
        <f t="shared" si="30"/>
        <v>-8.0720398556838199E-2</v>
      </c>
      <c r="E369" s="13">
        <f t="shared" si="31"/>
        <v>0.54464743780786373</v>
      </c>
      <c r="H369" s="13">
        <f t="shared" si="34"/>
        <v>-0.12503998322039719</v>
      </c>
      <c r="I369" s="13">
        <f t="shared" si="32"/>
        <v>-0.23530849221521183</v>
      </c>
    </row>
    <row r="370" spans="1:9" x14ac:dyDescent="0.25">
      <c r="A370">
        <v>353</v>
      </c>
      <c r="B370" s="9">
        <f t="shared" si="33"/>
        <v>6.1610122595399837</v>
      </c>
      <c r="D370" s="13">
        <f t="shared" si="30"/>
        <v>-7.068421917498538E-2</v>
      </c>
      <c r="E370" s="13">
        <f t="shared" si="31"/>
        <v>0.54590038340272717</v>
      </c>
      <c r="H370" s="13">
        <f t="shared" si="34"/>
        <v>-0.13295502331387801</v>
      </c>
      <c r="I370" s="13">
        <f t="shared" si="32"/>
        <v>-0.22901191301956864</v>
      </c>
    </row>
    <row r="371" spans="1:9" x14ac:dyDescent="0.25">
      <c r="A371">
        <v>354</v>
      </c>
      <c r="B371" s="9">
        <f t="shared" si="33"/>
        <v>6.1784655520599268</v>
      </c>
      <c r="D371" s="13">
        <f t="shared" si="30"/>
        <v>-6.062650869523898E-2</v>
      </c>
      <c r="E371" s="13">
        <f t="shared" si="31"/>
        <v>0.54698704245255036</v>
      </c>
      <c r="H371" s="13">
        <f t="shared" si="34"/>
        <v>-0.1407662767533471</v>
      </c>
      <c r="I371" s="13">
        <f t="shared" si="32"/>
        <v>-0.22258364049194934</v>
      </c>
    </row>
    <row r="372" spans="1:9" x14ac:dyDescent="0.25">
      <c r="A372">
        <v>355</v>
      </c>
      <c r="B372" s="9">
        <f t="shared" si="33"/>
        <v>6.1959188445798699</v>
      </c>
      <c r="D372" s="13">
        <f t="shared" si="30"/>
        <v>-5.0550330793641823E-2</v>
      </c>
      <c r="E372" s="13">
        <f t="shared" si="31"/>
        <v>0.54790708395046006</v>
      </c>
      <c r="H372" s="13">
        <f t="shared" si="34"/>
        <v>-0.14847136415533788</v>
      </c>
      <c r="I372" s="13">
        <f t="shared" si="32"/>
        <v>-0.21602563274643749</v>
      </c>
    </row>
    <row r="373" spans="1:9" x14ac:dyDescent="0.25">
      <c r="A373">
        <v>356</v>
      </c>
      <c r="B373" s="9">
        <f t="shared" si="33"/>
        <v>6.213372137099813</v>
      </c>
      <c r="D373" s="13">
        <f t="shared" si="30"/>
        <v>-4.0458754771592866E-2</v>
      </c>
      <c r="E373" s="13">
        <f t="shared" si="31"/>
        <v>0.54866022764290334</v>
      </c>
      <c r="H373" s="13">
        <f t="shared" si="34"/>
        <v>-0.15606793847558689</v>
      </c>
      <c r="I373" s="13">
        <f t="shared" si="32"/>
        <v>-0.20933988741572124</v>
      </c>
    </row>
    <row r="374" spans="1:9" x14ac:dyDescent="0.25">
      <c r="A374">
        <v>357</v>
      </c>
      <c r="B374" s="9">
        <f t="shared" si="33"/>
        <v>6.2308254296197561</v>
      </c>
      <c r="D374" s="13">
        <f t="shared" si="30"/>
        <v>-3.0354854620907732E-2</v>
      </c>
      <c r="E374" s="13">
        <f t="shared" si="31"/>
        <v>0.54924624411501566</v>
      </c>
      <c r="H374" s="13">
        <f t="shared" si="34"/>
        <v>-0.16355368572396647</v>
      </c>
      <c r="I374" s="13">
        <f t="shared" si="32"/>
        <v>-0.2025284410425946</v>
      </c>
    </row>
    <row r="375" spans="1:9" x14ac:dyDescent="0.25">
      <c r="A375">
        <v>358</v>
      </c>
      <c r="B375" s="9">
        <f t="shared" si="33"/>
        <v>6.2482787221397</v>
      </c>
      <c r="D375" s="13">
        <f t="shared" si="30"/>
        <v>-2.0241708087450475E-2</v>
      </c>
      <c r="E375" s="13">
        <f t="shared" si="31"/>
        <v>0.54966495486050271</v>
      </c>
      <c r="H375" s="13">
        <f t="shared" si="34"/>
        <v>-0.17092632566934909</v>
      </c>
      <c r="I375" s="13">
        <f t="shared" si="32"/>
        <v>-0.19559336845960651</v>
      </c>
    </row>
    <row r="376" spans="1:9" x14ac:dyDescent="0.25">
      <c r="A376">
        <v>359</v>
      </c>
      <c r="B376" s="9">
        <f t="shared" si="33"/>
        <v>6.2657320146596431</v>
      </c>
      <c r="D376" s="13">
        <f t="shared" si="30"/>
        <v>-1.0122395733624464E-2</v>
      </c>
      <c r="E376" s="13">
        <f t="shared" si="31"/>
        <v>0.54991623233601528</v>
      </c>
      <c r="H376" s="13">
        <f t="shared" si="34"/>
        <v>-0.17818361253418621</v>
      </c>
      <c r="I376" s="13">
        <f t="shared" si="32"/>
        <v>-0.18853678215704789</v>
      </c>
    </row>
    <row r="377" spans="1:9" x14ac:dyDescent="0.25">
      <c r="A377">
        <v>360</v>
      </c>
      <c r="B377" s="9">
        <f t="shared" si="33"/>
        <v>6.2831853071795862</v>
      </c>
      <c r="D377" s="13">
        <f t="shared" si="30"/>
        <v>-1.4211722076939992E-16</v>
      </c>
      <c r="E377" s="13">
        <f t="shared" si="31"/>
        <v>0.55000000000000004</v>
      </c>
      <c r="H377" s="13">
        <f t="shared" si="34"/>
        <v>-0.18532333567859635</v>
      </c>
      <c r="I377" s="13">
        <f t="shared" si="32"/>
        <v>-0.18136083163946487</v>
      </c>
    </row>
  </sheetData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B10:DS127"/>
  <sheetViews>
    <sheetView workbookViewId="0">
      <selection activeCell="C11" sqref="C11"/>
    </sheetView>
  </sheetViews>
  <sheetFormatPr baseColWidth="10" defaultRowHeight="15" x14ac:dyDescent="0.25"/>
  <cols>
    <col min="2" max="2" width="46.5703125" customWidth="1"/>
    <col min="3" max="3" width="27.85546875" customWidth="1"/>
    <col min="7" max="7" width="42.140625" customWidth="1"/>
    <col min="8" max="8" width="15.5703125" customWidth="1"/>
    <col min="10" max="10" width="14.85546875" customWidth="1"/>
    <col min="11" max="11" width="14" customWidth="1"/>
    <col min="12" max="12" width="12.85546875" customWidth="1"/>
    <col min="13" max="13" width="14.42578125" customWidth="1"/>
    <col min="14" max="14" width="13.42578125" customWidth="1"/>
    <col min="16" max="16" width="15.28515625" customWidth="1"/>
    <col min="18" max="18" width="14" customWidth="1"/>
    <col min="43" max="43" width="15.140625" customWidth="1"/>
  </cols>
  <sheetData>
    <row r="10" spans="2:123" x14ac:dyDescent="0.25">
      <c r="BY10" s="19"/>
    </row>
    <row r="11" spans="2:123" s="221" customFormat="1" ht="26.25" x14ac:dyDescent="0.4">
      <c r="B11" s="228" t="s">
        <v>24</v>
      </c>
      <c r="C11" s="1">
        <f>Tabelle1!J64</f>
        <v>43497.734027777777</v>
      </c>
      <c r="G11" t="s">
        <v>105</v>
      </c>
      <c r="H11"/>
      <c r="I11" s="82">
        <v>3476</v>
      </c>
      <c r="CU11" s="228"/>
      <c r="CV11" s="228"/>
      <c r="CZ11" s="228"/>
      <c r="DA11" s="227"/>
      <c r="DB11" s="227"/>
      <c r="DC11" s="227"/>
      <c r="DD11" s="227"/>
      <c r="DE11" s="228"/>
      <c r="DF11" s="230"/>
      <c r="DG11" s="228"/>
      <c r="DI11" s="228"/>
      <c r="DJ11" s="228"/>
    </row>
    <row r="12" spans="2:123" x14ac:dyDescent="0.25">
      <c r="T12" s="54"/>
      <c r="AN12" s="13"/>
      <c r="CU12" s="50"/>
      <c r="CV12" s="21"/>
      <c r="CW12" s="21"/>
      <c r="CX12" s="28"/>
      <c r="CZ12" s="70"/>
      <c r="DD12" s="71"/>
      <c r="DE12" s="72"/>
      <c r="DG12" s="73"/>
      <c r="DH12" s="40"/>
      <c r="DI12" s="13"/>
      <c r="DM12" s="13"/>
      <c r="DN12" s="13"/>
      <c r="DO12" s="12"/>
      <c r="DP12" s="28"/>
      <c r="DR12" s="13"/>
      <c r="DS12" s="28"/>
    </row>
    <row r="13" spans="2:123" x14ac:dyDescent="0.25">
      <c r="B13" s="9">
        <f>C11</f>
        <v>43497.734027777777</v>
      </c>
      <c r="G13" t="s">
        <v>106</v>
      </c>
      <c r="I13" s="15">
        <v>6371</v>
      </c>
    </row>
    <row r="15" spans="2:123" ht="21" x14ac:dyDescent="0.35">
      <c r="B15" s="228" t="s">
        <v>25</v>
      </c>
      <c r="C15" s="12">
        <f>C11-INT(C11)</f>
        <v>0.73402777777664596</v>
      </c>
      <c r="G15" t="s">
        <v>107</v>
      </c>
      <c r="I15" s="83">
        <v>5.5545525999999998E-2</v>
      </c>
    </row>
    <row r="17" spans="2:22" ht="21" x14ac:dyDescent="0.35">
      <c r="B17" s="228" t="s">
        <v>26</v>
      </c>
      <c r="C17" s="13">
        <f>2451545+C11-DATE(2000,1,1)</f>
        <v>2458516.7340277778</v>
      </c>
      <c r="G17" t="s">
        <v>104</v>
      </c>
      <c r="I17" s="15">
        <v>60.266599999999997</v>
      </c>
    </row>
    <row r="19" spans="2:22" ht="21" x14ac:dyDescent="0.35">
      <c r="B19" s="228" t="s">
        <v>27</v>
      </c>
      <c r="C19" s="9">
        <f>C17-2451545.5</f>
        <v>6971.2340277777985</v>
      </c>
    </row>
    <row r="21" spans="2:22" ht="21" x14ac:dyDescent="0.35">
      <c r="B21" s="228" t="s">
        <v>28</v>
      </c>
      <c r="C21" s="14">
        <f>C19/36525</f>
        <v>0.19086198570233534</v>
      </c>
    </row>
    <row r="23" spans="2:22" ht="31.5" x14ac:dyDescent="0.5">
      <c r="B23" s="233" t="s">
        <v>100</v>
      </c>
      <c r="G23" s="238" t="s">
        <v>406</v>
      </c>
    </row>
    <row r="25" spans="2:22" x14ac:dyDescent="0.25">
      <c r="B25" s="229" t="s">
        <v>61</v>
      </c>
      <c r="C25" s="44">
        <f>218.31665+481267.88134*C21-0.0011327*C21^2</f>
        <v>92074.060096045971</v>
      </c>
      <c r="G25" s="221" t="s">
        <v>12</v>
      </c>
      <c r="H25" s="7">
        <f>INT(2451545+C11-DATE(2000,1,1))</f>
        <v>2458516</v>
      </c>
    </row>
    <row r="26" spans="2:22" ht="21" x14ac:dyDescent="0.35">
      <c r="B26" s="228" t="s">
        <v>57</v>
      </c>
      <c r="C26" s="45">
        <f>C25-INT(C25/360)*360</f>
        <v>274.06009604597057</v>
      </c>
      <c r="K26" s="221"/>
      <c r="Q26" s="228"/>
      <c r="V26" s="221"/>
    </row>
    <row r="27" spans="2:22" ht="15.75" x14ac:dyDescent="0.25">
      <c r="B27" s="230" t="s">
        <v>62</v>
      </c>
      <c r="C27" s="44">
        <f>134.96341+477198.86763*C21+0.008997*C21^2</f>
        <v>91214.087188513062</v>
      </c>
      <c r="G27" s="221" t="s">
        <v>13</v>
      </c>
      <c r="H27" s="8">
        <f>(H25-2451545.5)/36525</f>
        <v>0.19084188911704311</v>
      </c>
      <c r="K27" s="8"/>
      <c r="Q27" s="11"/>
    </row>
    <row r="28" spans="2:22" ht="21" x14ac:dyDescent="0.35">
      <c r="B28" s="228" t="s">
        <v>63</v>
      </c>
      <c r="C28" s="46">
        <f>C27-INT(C27/360)*360</f>
        <v>134.08718851306185</v>
      </c>
    </row>
    <row r="29" spans="2:22" x14ac:dyDescent="0.25">
      <c r="C29" s="44">
        <f>357.52911+35999.05029*C21+0.000154*C21^2</f>
        <v>7228.3793373575891</v>
      </c>
      <c r="G29" s="221" t="s">
        <v>14</v>
      </c>
      <c r="H29" s="9">
        <f>6.697376+2400.05134*H27+1.002738*0</f>
        <v>464.72770770349075</v>
      </c>
    </row>
    <row r="30" spans="2:22" ht="21" x14ac:dyDescent="0.35">
      <c r="B30" s="228" t="s">
        <v>64</v>
      </c>
      <c r="C30" s="45">
        <f>C29-INT(C29/360)*360</f>
        <v>28.379337357589066</v>
      </c>
    </row>
    <row r="31" spans="2:22" x14ac:dyDescent="0.25">
      <c r="C31" s="44">
        <f>93.2721+483202.01753*C21+0.003403*C21^2</f>
        <v>92318.168785115951</v>
      </c>
      <c r="G31" s="221" t="s">
        <v>15</v>
      </c>
      <c r="H31" s="10">
        <f>H29-INT(H29/24)*24</f>
        <v>8.7277077034907506</v>
      </c>
    </row>
    <row r="32" spans="2:22" ht="21" x14ac:dyDescent="0.35">
      <c r="B32" s="228" t="s">
        <v>65</v>
      </c>
      <c r="C32" s="45">
        <f>C31-INT(C31/360)*360</f>
        <v>158.16878511595132</v>
      </c>
    </row>
    <row r="33" spans="2:8" ht="21" x14ac:dyDescent="0.35">
      <c r="C33" s="44">
        <f>297.85002+445267.11152*C21+0.00163*C21^2</f>
        <v>85282.415152028523</v>
      </c>
      <c r="G33" s="228" t="s">
        <v>16</v>
      </c>
    </row>
    <row r="34" spans="2:8" ht="21" x14ac:dyDescent="0.35">
      <c r="B34" s="228" t="s">
        <v>66</v>
      </c>
      <c r="C34" s="45">
        <f>C33-INT(C33/360)*360</f>
        <v>322.41515202852315</v>
      </c>
      <c r="H34" s="11">
        <f>H31/24</f>
        <v>0.36365448764544794</v>
      </c>
    </row>
    <row r="35" spans="2:8" x14ac:dyDescent="0.25">
      <c r="G35" s="221" t="s">
        <v>17</v>
      </c>
      <c r="H35">
        <f>H31*15</f>
        <v>130.91561555236126</v>
      </c>
    </row>
    <row r="36" spans="2:8" x14ac:dyDescent="0.25">
      <c r="C36" s="7">
        <f>C26+6.288889*SIN(RADIANS(C28))+0.2136111*SIN(RADIANS(2*C28))+0.01*SIN(RADIANS(3*C28))</f>
        <v>278.37051359693777</v>
      </c>
    </row>
    <row r="37" spans="2:8" ht="21" x14ac:dyDescent="0.35">
      <c r="C37" s="246">
        <f>1.273889*SIN(RADIANS(C28-2*C34))</f>
        <v>-0.62258276964383585</v>
      </c>
      <c r="G37" s="228" t="s">
        <v>18</v>
      </c>
    </row>
    <row r="38" spans="2:8" x14ac:dyDescent="0.25">
      <c r="C38" s="246">
        <f>0.6583334*SIN(RADIANS(2*C34))</f>
        <v>-0.636403094353998</v>
      </c>
      <c r="H38" s="11">
        <f>H34+Tabelle1!$C$12/60/24*4</f>
        <v>0.39068226542322571</v>
      </c>
    </row>
    <row r="39" spans="2:8" x14ac:dyDescent="0.25">
      <c r="C39" s="246">
        <f>0.1855556*SIN(RADIANS(C30))</f>
        <v>8.819586619473524E-2</v>
      </c>
      <c r="G39" s="221" t="s">
        <v>19</v>
      </c>
      <c r="H39" s="9">
        <f>6.697376+2400.05134*H27+1.002738*C15*24</f>
        <v>482.39260880346353</v>
      </c>
    </row>
    <row r="40" spans="2:8" x14ac:dyDescent="0.25">
      <c r="C40" s="246">
        <f>0.1144445*SIN(RADIANS(2*C32))</f>
        <v>-7.90134207290214E-2</v>
      </c>
    </row>
    <row r="41" spans="2:8" x14ac:dyDescent="0.25">
      <c r="C41" s="246">
        <f>0.058889*SIN(RADIANS(2*C28-2*C34))</f>
        <v>-1.6878980725494656E-2</v>
      </c>
      <c r="G41" s="221" t="s">
        <v>15</v>
      </c>
      <c r="H41">
        <f>H39-INT(H39/24)*24</f>
        <v>2.3926088034635313</v>
      </c>
    </row>
    <row r="42" spans="2:8" x14ac:dyDescent="0.25">
      <c r="C42" s="246">
        <f>0.057222*SIN(RADIANS(C28+C30-2*C34))</f>
        <v>-4.8333506522976924E-2</v>
      </c>
    </row>
    <row r="43" spans="2:8" ht="21" x14ac:dyDescent="0.35">
      <c r="C43" s="246">
        <f>0.053333*SIN(RADIANS(C28+2*C34))</f>
        <v>4.5675700863062538E-2</v>
      </c>
      <c r="G43" s="228" t="s">
        <v>20</v>
      </c>
    </row>
    <row r="44" spans="2:8" x14ac:dyDescent="0.25">
      <c r="C44" s="246">
        <f>0.0458333*SIN(RADIANS(C30-2*C34))</f>
        <v>4.4557749340345475E-2</v>
      </c>
      <c r="H44" s="223">
        <f>H41/24</f>
        <v>9.9692033477647143E-2</v>
      </c>
    </row>
    <row r="45" spans="2:8" x14ac:dyDescent="0.25">
      <c r="C45" s="246">
        <f>0.041111*SIN(RADIANS(C28-C30))</f>
        <v>3.9575695620852433E-2</v>
      </c>
    </row>
    <row r="46" spans="2:8" x14ac:dyDescent="0.25">
      <c r="C46" s="246">
        <f>0.0347222*SIN(RADIANS(C34))</f>
        <v>-2.1178306562708561E-2</v>
      </c>
      <c r="G46" s="221" t="s">
        <v>21</v>
      </c>
      <c r="H46">
        <f>H41*15</f>
        <v>35.88913205195297</v>
      </c>
    </row>
    <row r="47" spans="2:8" x14ac:dyDescent="0.25">
      <c r="C47" s="246">
        <f>0.030555*SIN(RADIANS(C28+C30))</f>
        <v>9.2050891868127177E-3</v>
      </c>
    </row>
    <row r="48" spans="2:8" x14ac:dyDescent="0.25">
      <c r="C48" s="246">
        <f>0.0152778*SIN(RADIANS(2*C32-2*C34))</f>
        <v>7.9842805069699277E-3</v>
      </c>
    </row>
    <row r="49" spans="2:18" ht="26.25" x14ac:dyDescent="0.4">
      <c r="B49" s="234" t="s">
        <v>29</v>
      </c>
      <c r="C49" s="47">
        <f>C36-C37+C38-C39-C40-C41-C42+C43-C44+C45-C46-C47-C48</f>
        <v>278.45740589802284</v>
      </c>
      <c r="G49" s="43" t="s">
        <v>103</v>
      </c>
    </row>
    <row r="51" spans="2:18" ht="21" x14ac:dyDescent="0.35">
      <c r="B51" s="118" t="s">
        <v>67</v>
      </c>
      <c r="C51" s="30">
        <f>C49-C26</f>
        <v>4.397309852052274</v>
      </c>
      <c r="G51" s="228" t="s">
        <v>22</v>
      </c>
    </row>
    <row r="52" spans="2:18" x14ac:dyDescent="0.25">
      <c r="H52" s="9">
        <f>H46+Tabelle1!$C$12</f>
        <v>45.619132051952974</v>
      </c>
    </row>
    <row r="53" spans="2:18" x14ac:dyDescent="0.25">
      <c r="C53" s="246">
        <f>5.145*SIN(RADIANS(C32+C49-C26+0.114*SIN(RADIANS(2*C32))+0.15*SIN(RADIANS(C30))))</f>
        <v>1.5421047245885002</v>
      </c>
      <c r="H53" s="9">
        <f>H52/15</f>
        <v>3.0412754701301981</v>
      </c>
    </row>
    <row r="54" spans="2:18" x14ac:dyDescent="0.25">
      <c r="C54" s="246">
        <f>0.14611*SIN(RADIANS(+C32-2*C34))</f>
        <v>-0.11720605825137526</v>
      </c>
    </row>
    <row r="55" spans="2:18" ht="21" x14ac:dyDescent="0.35">
      <c r="C55" s="246">
        <f>0.012222*SIN(RADIANS(+C28+C32-2*C34))</f>
        <v>1.5795696998346699E-3</v>
      </c>
      <c r="G55" s="228" t="s">
        <v>23</v>
      </c>
      <c r="N55" s="221"/>
    </row>
    <row r="56" spans="2:18" x14ac:dyDescent="0.25">
      <c r="C56" s="246">
        <f>0.008611*SIN(RADIANS(-C28+C32-2*C34))</f>
        <v>8.4989944849020727E-3</v>
      </c>
      <c r="H56" s="223">
        <f>H53/24</f>
        <v>0.12671981125542492</v>
      </c>
    </row>
    <row r="57" spans="2:18" x14ac:dyDescent="0.25">
      <c r="C57" s="246">
        <f>0.0059444*SIN(RADIANS(-2*C28+C32))</f>
        <v>-5.5857103629967245E-3</v>
      </c>
    </row>
    <row r="58" spans="2:18" x14ac:dyDescent="0.25">
      <c r="C58" s="246">
        <f>0.0063888*SIN(RADIANS(C30+C32-2*C34))</f>
        <v>-6.3221688700603029E-3</v>
      </c>
    </row>
    <row r="59" spans="2:18" ht="21" x14ac:dyDescent="0.35">
      <c r="C59" s="246">
        <f>0.0058333*SIN(RADIANS(-C28+C32))</f>
        <v>2.3802036151807631E-3</v>
      </c>
      <c r="G59" s="228" t="s">
        <v>81</v>
      </c>
      <c r="H59" s="63">
        <f>H52-C73</f>
        <v>-233.47258135044706</v>
      </c>
      <c r="J59" s="247">
        <f>H59+360</f>
        <v>126.52741864955294</v>
      </c>
    </row>
    <row r="60" spans="2:18" x14ac:dyDescent="0.25">
      <c r="C60" s="246">
        <f>0.0030555*SIN(RADIANS(-C30+C32-2*C34))</f>
        <v>-1.2893351012566612E-3</v>
      </c>
      <c r="J60" s="247"/>
    </row>
    <row r="61" spans="2:18" ht="21" x14ac:dyDescent="0.35">
      <c r="B61" s="234" t="s">
        <v>68</v>
      </c>
      <c r="C61" s="47">
        <f>C53-C54+C55-C56-C57-C58+C59+C60</f>
        <v>1.6653901058017893</v>
      </c>
      <c r="G61" s="228" t="s">
        <v>82</v>
      </c>
      <c r="H61" s="64">
        <f>H52-C113</f>
        <v>-269.41088709474826</v>
      </c>
      <c r="J61" s="247">
        <f t="shared" ref="J61" si="0">H61+360</f>
        <v>90.589112905251739</v>
      </c>
      <c r="R61" s="221"/>
    </row>
    <row r="62" spans="2:18" x14ac:dyDescent="0.25">
      <c r="O62" s="19"/>
    </row>
    <row r="63" spans="2:18" x14ac:dyDescent="0.25">
      <c r="C63" s="48">
        <f>0.58*COS(RADIANS(C28-2*C34))</f>
        <v>-0.50601362808004313</v>
      </c>
    </row>
    <row r="64" spans="2:18" x14ac:dyDescent="0.25">
      <c r="C64" s="48">
        <f>0.46*COS(RADIANS(2*C34))</f>
        <v>0.11774025701166836</v>
      </c>
    </row>
    <row r="65" spans="2:21" ht="26.25" x14ac:dyDescent="0.4">
      <c r="B65" s="231" t="s">
        <v>69</v>
      </c>
      <c r="C65" s="47">
        <f>-C63-C64</f>
        <v>0.38827337106837478</v>
      </c>
      <c r="G65" s="43" t="s">
        <v>84</v>
      </c>
    </row>
    <row r="67" spans="2:21" x14ac:dyDescent="0.25">
      <c r="B67" s="221" t="s">
        <v>70</v>
      </c>
      <c r="F67" s="19"/>
      <c r="G67" s="221" t="s">
        <v>83</v>
      </c>
      <c r="H67" s="242">
        <f>COS(RADIANS(H59))*SIN(RADIANS(Tabelle1!$C$14))-TAN(RADIANS(C76))*COS(RADIANS(Tabelle1!$C$14))</f>
        <v>-0.23113470099496339</v>
      </c>
      <c r="I67" s="19"/>
      <c r="J67" t="s">
        <v>412</v>
      </c>
      <c r="K67" s="221"/>
      <c r="L67" s="221"/>
      <c r="O67" s="221"/>
      <c r="P67" s="221"/>
    </row>
    <row r="68" spans="2:21" x14ac:dyDescent="0.25">
      <c r="C68" s="10">
        <f>COS(RADIANS(C49))</f>
        <v>0.14707412871973505</v>
      </c>
      <c r="H68" s="65">
        <f>ATAN(SIN(RADIANS(H59))/(COS(RADIANS(H59))*SIN(RADIANS(Tabelle1!$C$14))-TAN(RADIANS(C76))*COS(RADIANS(Tabelle1!$C$14))))*180/PI()</f>
        <v>-73.952962950871694</v>
      </c>
      <c r="J68" t="s">
        <v>413</v>
      </c>
      <c r="R68" s="49"/>
    </row>
    <row r="69" spans="2:21" x14ac:dyDescent="0.25">
      <c r="F69" s="221"/>
      <c r="H69" s="65">
        <f>IF(H67&lt;0,H68+360,H68+180)</f>
        <v>286.04703704912833</v>
      </c>
      <c r="I69" s="221"/>
      <c r="K69" s="118"/>
      <c r="L69" s="118"/>
      <c r="M69" s="221"/>
      <c r="O69" s="221"/>
    </row>
    <row r="70" spans="2:21" x14ac:dyDescent="0.25">
      <c r="C70" s="50">
        <f>ATAN((SIN(RADIANS(C49))*COS(RADIANS(23.44))-TAN(RADIANS(C61))*SIN(RADIANS(23.44)))/COS(RADIANS(C49)))*180/PI()</f>
        <v>-80.90828659759994</v>
      </c>
    </row>
    <row r="71" spans="2:21" ht="18.75" x14ac:dyDescent="0.3">
      <c r="C71" s="50">
        <f>ATAN((SIN(RADIANS(C49))*COS(RADIANS(23.44))-TAN(RADIANS(C61))*SIN(RADIANS(23.44)))/COS(RADIANS(C49)))*180/PI()+4*ATAN(1)*180/PI()</f>
        <v>99.09171340240006</v>
      </c>
      <c r="G71" s="235" t="s">
        <v>84</v>
      </c>
      <c r="H71" s="62">
        <f>H69-INT(H69/360)*360</f>
        <v>286.04703704912833</v>
      </c>
      <c r="J71" s="19"/>
      <c r="K71" s="19"/>
      <c r="L71" s="19"/>
      <c r="M71" s="248"/>
      <c r="N71" s="19"/>
      <c r="O71" s="19"/>
      <c r="P71" s="19"/>
      <c r="Q71" s="19"/>
      <c r="R71" s="19"/>
      <c r="S71" s="19"/>
      <c r="T71" s="19"/>
    </row>
    <row r="72" spans="2:21" ht="18.75" x14ac:dyDescent="0.3">
      <c r="B72" s="234" t="s">
        <v>401</v>
      </c>
      <c r="C72" s="51">
        <f>IF(C68&gt;0,C70,C71)</f>
        <v>-80.90828659759994</v>
      </c>
      <c r="J72" s="19"/>
      <c r="K72" s="19"/>
      <c r="L72" s="19"/>
      <c r="M72" s="248"/>
      <c r="N72" s="19"/>
      <c r="O72" s="19"/>
      <c r="P72" s="19"/>
      <c r="Q72" s="19"/>
      <c r="R72" s="19"/>
      <c r="S72" s="19"/>
      <c r="T72" s="19"/>
    </row>
    <row r="73" spans="2:21" x14ac:dyDescent="0.25">
      <c r="C73" s="52">
        <f>IF(C72&lt;0,360+C72,C72)</f>
        <v>279.09171340240005</v>
      </c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</row>
    <row r="74" spans="2:21" ht="26.25" x14ac:dyDescent="0.4">
      <c r="C74" s="53">
        <f>C73/15/24</f>
        <v>0.77525475945111122</v>
      </c>
      <c r="G74" s="43" t="s">
        <v>85</v>
      </c>
      <c r="J74" s="38"/>
      <c r="K74" s="19"/>
      <c r="L74" s="19"/>
      <c r="M74" s="38"/>
      <c r="N74" s="38"/>
      <c r="O74" s="38"/>
      <c r="P74" s="38"/>
      <c r="Q74" s="38"/>
      <c r="R74" s="38"/>
      <c r="S74" s="38"/>
      <c r="T74" s="38"/>
      <c r="U74" s="28"/>
    </row>
    <row r="75" spans="2:21" x14ac:dyDescent="0.25">
      <c r="J75" s="19"/>
      <c r="K75" s="19"/>
      <c r="L75" s="19"/>
      <c r="M75" s="19"/>
      <c r="N75" s="38"/>
      <c r="O75" s="38"/>
      <c r="P75" s="38"/>
      <c r="Q75" s="38"/>
      <c r="R75" s="38"/>
      <c r="S75" s="38"/>
      <c r="T75" s="38"/>
      <c r="U75" s="28"/>
    </row>
    <row r="76" spans="2:21" ht="18.75" x14ac:dyDescent="0.3">
      <c r="B76" s="234" t="s">
        <v>193</v>
      </c>
      <c r="C76" s="42">
        <f>ASIN(SIN(RADIANS(C61))*COS(RADIANS(23.44))+COS(RADIANS(C61))*SIN(RADIANS(23.44))*SIN(RADIANS(C49)))*180/PI()</f>
        <v>-21.508078844597033</v>
      </c>
      <c r="F76" s="225"/>
      <c r="G76" s="221" t="s">
        <v>83</v>
      </c>
      <c r="H76" s="242">
        <f>COS(RADIANS(H61))*SIN(RADIANS(Tabelle1!$C$14))-TAN(RADIANS(C116))*COS(RADIANS(Tabelle1!$C$14))</f>
        <v>0.17881333447418452</v>
      </c>
      <c r="J76" s="19"/>
      <c r="K76" s="118"/>
      <c r="L76" s="19"/>
      <c r="M76" s="19"/>
      <c r="N76" s="19"/>
      <c r="O76" s="19"/>
      <c r="P76" s="19"/>
      <c r="Q76" s="19"/>
      <c r="R76" s="19"/>
      <c r="S76" s="19"/>
      <c r="T76" s="19"/>
    </row>
    <row r="77" spans="2:21" x14ac:dyDescent="0.25">
      <c r="H77" s="65">
        <f>ATAN(SIN(RADIANS(H61))/(COS(RADIANS(H61))*SIN(RADIANS(Tabelle1!$C$14))-TAN(RADIANS(C116))*COS(RADIANS(Tabelle1!$C$14))))*180/PI()</f>
        <v>79.861372232071744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</row>
    <row r="78" spans="2:21" x14ac:dyDescent="0.25">
      <c r="F78" s="58"/>
      <c r="G78" s="59"/>
      <c r="H78" s="91">
        <f>IF(H76&lt;0,H77+360,H77+180)</f>
        <v>259.86137223207174</v>
      </c>
      <c r="I78" s="7"/>
      <c r="J78" s="237"/>
      <c r="K78" s="19"/>
      <c r="L78" s="19"/>
      <c r="M78" s="237"/>
      <c r="N78" s="19"/>
      <c r="O78" s="19"/>
      <c r="P78" s="19"/>
      <c r="Q78" s="19"/>
      <c r="R78" s="19"/>
      <c r="S78" s="19"/>
      <c r="T78" s="19"/>
    </row>
    <row r="79" spans="2:21" x14ac:dyDescent="0.25">
      <c r="C79" s="58">
        <f>C108-C49</f>
        <v>34.108174035732361</v>
      </c>
      <c r="F79" s="58"/>
      <c r="G79" s="59"/>
      <c r="H79" s="88"/>
      <c r="I79" s="7"/>
      <c r="J79" s="237"/>
      <c r="K79" s="19"/>
      <c r="L79" s="19"/>
      <c r="M79" s="237"/>
      <c r="N79" s="19"/>
      <c r="O79" s="19"/>
      <c r="P79" s="19"/>
      <c r="Q79" s="19"/>
      <c r="R79" s="19"/>
      <c r="S79" s="19"/>
      <c r="T79" s="19"/>
    </row>
    <row r="80" spans="2:21" ht="21" x14ac:dyDescent="0.35">
      <c r="C80" s="59">
        <f>IF(C79&lt;0,C79+360,C79)</f>
        <v>34.108174035732361</v>
      </c>
      <c r="F80" s="58"/>
      <c r="G80" s="228" t="s">
        <v>85</v>
      </c>
      <c r="H80" s="62">
        <f>H78-INT(H78/360)*360</f>
        <v>259.86137223207174</v>
      </c>
      <c r="I80" s="7"/>
      <c r="J80" s="19"/>
      <c r="K80" s="19"/>
      <c r="L80" s="19"/>
      <c r="M80" s="237"/>
      <c r="N80" s="19"/>
      <c r="O80" s="237"/>
      <c r="P80" s="19"/>
      <c r="Q80" s="19"/>
      <c r="R80" s="19"/>
      <c r="S80" s="19"/>
      <c r="T80" s="19"/>
    </row>
    <row r="81" spans="2:23" x14ac:dyDescent="0.25">
      <c r="C81" s="60">
        <f>IF(C80&gt;180,C80-360,C80)</f>
        <v>34.108174035732361</v>
      </c>
      <c r="F81" s="58"/>
      <c r="G81" s="59"/>
      <c r="H81" s="88"/>
      <c r="J81" s="19"/>
      <c r="K81" s="19"/>
      <c r="L81" s="237"/>
      <c r="M81" s="248"/>
      <c r="N81" s="19"/>
      <c r="O81" s="19"/>
      <c r="P81" s="19"/>
      <c r="Q81" s="19"/>
      <c r="R81" s="19"/>
      <c r="S81" s="19"/>
      <c r="T81" s="19"/>
    </row>
    <row r="82" spans="2:23" ht="21" x14ac:dyDescent="0.35">
      <c r="B82" s="232" t="s">
        <v>78</v>
      </c>
      <c r="C82" s="61">
        <f>C81</f>
        <v>34.108174035732361</v>
      </c>
      <c r="F82" s="58"/>
      <c r="G82" s="59"/>
      <c r="H82" s="88"/>
      <c r="I82" s="7"/>
      <c r="J82" s="19"/>
      <c r="K82" s="19"/>
      <c r="L82" s="237"/>
      <c r="M82" s="248"/>
      <c r="N82" s="19"/>
      <c r="O82" s="19"/>
      <c r="P82" s="19"/>
      <c r="Q82" s="19"/>
      <c r="R82" s="19"/>
      <c r="S82" s="19"/>
      <c r="T82" s="19"/>
    </row>
    <row r="83" spans="2:23" ht="26.25" x14ac:dyDescent="0.4">
      <c r="F83" s="58"/>
      <c r="G83" s="239" t="s">
        <v>407</v>
      </c>
      <c r="H83" s="88" t="s">
        <v>408</v>
      </c>
      <c r="I83" s="7"/>
      <c r="J83" s="38"/>
      <c r="K83" s="19"/>
      <c r="L83" s="19"/>
      <c r="M83" s="19"/>
      <c r="N83" s="118"/>
      <c r="O83" s="19"/>
      <c r="P83" s="19"/>
      <c r="Q83" s="19"/>
      <c r="R83" s="19"/>
      <c r="S83" s="19"/>
      <c r="T83" s="19"/>
    </row>
    <row r="84" spans="2:23" x14ac:dyDescent="0.25">
      <c r="B84" s="221" t="s">
        <v>79</v>
      </c>
      <c r="C84" s="13">
        <f>IF(C82&lt;0,C82*-1,C82)</f>
        <v>34.108174035732361</v>
      </c>
      <c r="F84" s="58"/>
      <c r="G84" s="59"/>
      <c r="H84" s="88"/>
      <c r="I84" s="7"/>
      <c r="J84" s="237"/>
      <c r="K84" s="19"/>
      <c r="L84" s="19"/>
      <c r="M84" s="19"/>
      <c r="N84" s="19"/>
      <c r="O84" s="19"/>
      <c r="P84" s="19"/>
      <c r="Q84" s="19"/>
      <c r="R84" s="19"/>
      <c r="S84" s="19"/>
      <c r="T84" s="19"/>
    </row>
    <row r="85" spans="2:23" ht="21" x14ac:dyDescent="0.35">
      <c r="F85" s="58"/>
      <c r="G85" s="228" t="s">
        <v>86</v>
      </c>
      <c r="H85" s="62">
        <f>ASIN(COS(RADIANS(C76))*COS(RADIANS(H59))*COS(RADIANS(Tabelle1!$C$14))+SIN(RADIANS(C76))*SIN(RADIANS(Tabelle1!$C$14)))*180/PI()</f>
        <v>-38.928747425154839</v>
      </c>
      <c r="I85" s="7"/>
      <c r="J85" s="237"/>
      <c r="K85" s="19"/>
      <c r="L85" s="237"/>
    </row>
    <row r="86" spans="2:23" ht="21" x14ac:dyDescent="0.35">
      <c r="B86" s="232" t="s">
        <v>80</v>
      </c>
      <c r="C86" s="62">
        <f>(1-(1+COS(RADIANS(C82)))/2)*100</f>
        <v>8.600982835697458</v>
      </c>
      <c r="F86" s="58"/>
      <c r="G86" s="59"/>
      <c r="H86" s="88"/>
      <c r="I86" s="7"/>
      <c r="J86" s="237"/>
      <c r="K86" s="19"/>
      <c r="L86" s="237"/>
    </row>
    <row r="87" spans="2:23" ht="21" x14ac:dyDescent="0.35">
      <c r="F87" s="58"/>
      <c r="G87" s="228" t="s">
        <v>87</v>
      </c>
      <c r="H87" s="66">
        <f>ASIN(COS(RADIANS(C116))*COS(RADIANS(H61))*COS(RADIANS(Tabelle1!$C$14))+SIN(RADIANS(C116))*SIN(RADIANS(Tabelle1!$C$14)))*180/PI()</f>
        <v>-13.775449190988692</v>
      </c>
      <c r="I87" s="7"/>
      <c r="J87" s="237"/>
      <c r="K87" s="19"/>
      <c r="L87" s="237"/>
    </row>
    <row r="88" spans="2:23" x14ac:dyDescent="0.25">
      <c r="F88" s="58"/>
      <c r="G88" s="59"/>
      <c r="H88" s="88"/>
      <c r="I88" s="7"/>
      <c r="J88" s="237"/>
      <c r="K88" s="19"/>
      <c r="L88" s="237"/>
    </row>
    <row r="90" spans="2:23" x14ac:dyDescent="0.25">
      <c r="B90" s="221" t="s">
        <v>71</v>
      </c>
      <c r="C90" s="54">
        <f>ACOS(-TAN(RADIANS(C76)*TAN(RADIANS(Tabelle1!$C$12))))*180/PI()/15</f>
        <v>5.7536200631633276</v>
      </c>
    </row>
    <row r="91" spans="2:23" ht="21" x14ac:dyDescent="0.35">
      <c r="C91" s="55">
        <f>C90/24</f>
        <v>0.23973416929847199</v>
      </c>
      <c r="G91" s="228" t="s">
        <v>88</v>
      </c>
      <c r="O91" s="221"/>
      <c r="Q91" s="221"/>
      <c r="S91" s="221"/>
      <c r="U91" s="221"/>
      <c r="W91" s="221"/>
    </row>
    <row r="92" spans="2:23" x14ac:dyDescent="0.25">
      <c r="B92" s="221" t="s">
        <v>72</v>
      </c>
      <c r="C92" s="25">
        <f>J13-C73</f>
        <v>-279.09171340240005</v>
      </c>
      <c r="H92" s="66">
        <f>90-Tabelle1!$C$14+C116</f>
        <v>20.563991008620064</v>
      </c>
    </row>
    <row r="94" spans="2:23" x14ac:dyDescent="0.25">
      <c r="B94" s="221" t="s">
        <v>73</v>
      </c>
      <c r="C94" s="54">
        <f>SIN(RADIANS(L13))*SIN(RADIANS(C76))+COS(RADIANS(L13))*COS(RADIANS(C76))*COS(RADIANS(C92))</f>
        <v>0.14701200429113714</v>
      </c>
      <c r="G94" s="221" t="s">
        <v>89</v>
      </c>
      <c r="H94" s="9">
        <f>ATAN((TAN(RADIANS(C104))-TAN(RADIANS(C108))*COS(RADIANS($I$42)))/(1+TAN(RADIANS(C104))*TAN(RADIANS(C108))*COS(RADIANS($I$42))))*180/PI()</f>
        <v>-0.92688566304027697</v>
      </c>
    </row>
    <row r="95" spans="2:23" x14ac:dyDescent="0.25">
      <c r="B95" s="221" t="s">
        <v>74</v>
      </c>
      <c r="C95" s="56">
        <f>DEGREES(ACOS(C94))</f>
        <v>81.546192685820643</v>
      </c>
    </row>
    <row r="96" spans="2:23" ht="21" x14ac:dyDescent="0.35">
      <c r="G96" s="228" t="s">
        <v>90</v>
      </c>
      <c r="H96" s="64">
        <f>H94*4</f>
        <v>-3.7075426521611079</v>
      </c>
    </row>
    <row r="97" spans="2:15" x14ac:dyDescent="0.25">
      <c r="B97" s="221" t="s">
        <v>75</v>
      </c>
      <c r="C97" s="25">
        <f>C95/24</f>
        <v>3.39775802857586</v>
      </c>
    </row>
    <row r="98" spans="2:15" x14ac:dyDescent="0.25">
      <c r="G98" s="176" t="s">
        <v>91</v>
      </c>
      <c r="H98" s="9">
        <f>12+(15-Tabelle1!$C$12)*4/60</f>
        <v>12.351333333333333</v>
      </c>
    </row>
    <row r="99" spans="2:15" x14ac:dyDescent="0.25">
      <c r="B99" s="221" t="s">
        <v>76</v>
      </c>
      <c r="C99" s="25">
        <f>(C95/15)*C90</f>
        <v>31.279054020781352</v>
      </c>
    </row>
    <row r="100" spans="2:15" x14ac:dyDescent="0.25">
      <c r="G100" s="176" t="s">
        <v>92</v>
      </c>
      <c r="H100" s="9">
        <f>H98-H96/60</f>
        <v>12.413125710869352</v>
      </c>
    </row>
    <row r="102" spans="2:15" ht="33.75" x14ac:dyDescent="0.5">
      <c r="B102" s="236" t="s">
        <v>101</v>
      </c>
      <c r="G102" s="228" t="s">
        <v>93</v>
      </c>
      <c r="H102" s="67">
        <f>H100/24</f>
        <v>0.51721357128622303</v>
      </c>
    </row>
    <row r="103" spans="2:15" x14ac:dyDescent="0.25">
      <c r="C103" s="41">
        <f>280.46+0.9856474*C19</f>
        <v>7151.638694270715</v>
      </c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</row>
    <row r="104" spans="2:15" ht="21" x14ac:dyDescent="0.35">
      <c r="B104" s="221" t="s">
        <v>57</v>
      </c>
      <c r="C104" s="13">
        <f>C103-INT(C103/360)*360</f>
        <v>311.63869427071495</v>
      </c>
      <c r="E104" s="19"/>
      <c r="F104" s="19"/>
      <c r="G104" s="228" t="s">
        <v>94</v>
      </c>
      <c r="H104" s="9">
        <f>(ACOS((SIN(RADIANS(-0.833))-(SIN(RADIANS(Tabelle1!$C$14))*SIN(RADIANS(C116))/(COS(RADIANS(Tabelle1!$C$14))*COS(RADIANS(C116))))))*180/PI())/15</f>
        <v>4.4972278041222093</v>
      </c>
      <c r="I104" s="19"/>
      <c r="J104" s="19"/>
      <c r="K104" s="19"/>
      <c r="L104" s="19"/>
      <c r="M104" s="19"/>
      <c r="N104" s="19"/>
      <c r="O104" s="19"/>
    </row>
    <row r="105" spans="2:15" x14ac:dyDescent="0.25">
      <c r="C105" s="41">
        <f>357.528+0.9856003*C19</f>
        <v>7228.3783491480062</v>
      </c>
      <c r="E105" s="118"/>
      <c r="F105" s="19"/>
      <c r="G105" s="118"/>
      <c r="H105" s="9">
        <f>H100-H104</f>
        <v>7.9158979067471424</v>
      </c>
      <c r="I105" s="19"/>
      <c r="J105" s="118"/>
      <c r="K105" s="19"/>
      <c r="L105" s="118"/>
      <c r="M105" s="19"/>
      <c r="N105" s="118"/>
      <c r="O105" s="118"/>
    </row>
    <row r="106" spans="2:15" x14ac:dyDescent="0.25">
      <c r="B106" s="221" t="s">
        <v>58</v>
      </c>
      <c r="C106" s="13">
        <f>C105-INT(C105/360)*360</f>
        <v>28.378349148006237</v>
      </c>
      <c r="J106" s="35"/>
    </row>
    <row r="107" spans="2:15" ht="21" x14ac:dyDescent="0.35">
      <c r="G107" s="228" t="s">
        <v>95</v>
      </c>
      <c r="H107" s="67">
        <f>H105/24</f>
        <v>0.3298290794477976</v>
      </c>
    </row>
    <row r="108" spans="2:15" ht="18.75" x14ac:dyDescent="0.3">
      <c r="B108" s="234" t="s">
        <v>29</v>
      </c>
      <c r="C108" s="42">
        <f>C104+1.915*SIN(RADIANS(C106))+0.01997*SIN(RADIANS(2*C106))</f>
        <v>312.5655799337552</v>
      </c>
      <c r="H108" s="9">
        <f>H100+H104</f>
        <v>16.910353514991563</v>
      </c>
    </row>
    <row r="110" spans="2:15" ht="21" x14ac:dyDescent="0.35">
      <c r="B110" s="221" t="s">
        <v>77</v>
      </c>
      <c r="C110" s="49">
        <f>COS(RADIANS(C108))</f>
        <v>0.67643364204023981</v>
      </c>
      <c r="G110" s="228" t="s">
        <v>96</v>
      </c>
      <c r="H110" s="67">
        <f>H108/24</f>
        <v>0.70459806312464845</v>
      </c>
    </row>
    <row r="111" spans="2:15" x14ac:dyDescent="0.25">
      <c r="C111" s="25">
        <f>IF(C110&gt;0,ATAN(COS(RADIANS(23.44))*TAN(RADIANS(C108)))*180/PI(),ATAN(COS(RADIANS(23.44))*TAN(RADIANS(C108)))*180/PI()+4*ATAN(1)*180/PI())</f>
        <v>-44.969980853298772</v>
      </c>
      <c r="H111" s="9">
        <f>H108-H105</f>
        <v>8.9944556082444205</v>
      </c>
    </row>
    <row r="113" spans="2:19" ht="21" x14ac:dyDescent="0.35">
      <c r="B113" s="234" t="s">
        <v>401</v>
      </c>
      <c r="C113" s="42">
        <f>IF(C111&lt;0,360+C111,C111)</f>
        <v>315.03001914670125</v>
      </c>
      <c r="G113" s="228" t="s">
        <v>97</v>
      </c>
      <c r="H113" s="67">
        <f>H111/24</f>
        <v>0.37476898367685085</v>
      </c>
    </row>
    <row r="114" spans="2:19" x14ac:dyDescent="0.25">
      <c r="C114" s="55">
        <f>C113/15/24</f>
        <v>0.87508338651861461</v>
      </c>
    </row>
    <row r="116" spans="2:19" ht="18.75" x14ac:dyDescent="0.3">
      <c r="B116" s="234" t="s">
        <v>193</v>
      </c>
      <c r="C116" s="57">
        <f>ASIN(SIN(RADIANS(23.44))*SIN(RADIANS(C108)))*180/PI()</f>
        <v>-17.036008991379937</v>
      </c>
    </row>
    <row r="117" spans="2:19" ht="21" x14ac:dyDescent="0.35">
      <c r="G117" s="228" t="s">
        <v>98</v>
      </c>
    </row>
    <row r="118" spans="2:19" x14ac:dyDescent="0.25">
      <c r="H118" s="13">
        <f>(C73-C113)/15</f>
        <v>-2.3958870496200801</v>
      </c>
    </row>
    <row r="119" spans="2:19" x14ac:dyDescent="0.25">
      <c r="H119" s="9">
        <f>H98+H118</f>
        <v>9.9554462837132522</v>
      </c>
    </row>
    <row r="120" spans="2:19" x14ac:dyDescent="0.25">
      <c r="H120" s="68">
        <f>IF(H119&lt;0,24+H119/24,H119/24)</f>
        <v>0.41481026182138553</v>
      </c>
    </row>
    <row r="124" spans="2:19" x14ac:dyDescent="0.25">
      <c r="N124" s="28"/>
      <c r="O124" s="28"/>
      <c r="P124" s="28"/>
    </row>
    <row r="126" spans="2:19" ht="21" x14ac:dyDescent="0.35">
      <c r="J126" s="221"/>
      <c r="K126" s="221"/>
      <c r="M126" s="221"/>
      <c r="N126" s="226"/>
      <c r="O126" s="228"/>
      <c r="P126" s="226"/>
      <c r="Q126" s="221"/>
      <c r="R126" s="221"/>
      <c r="S126" s="221"/>
    </row>
    <row r="127" spans="2:19" x14ac:dyDescent="0.25">
      <c r="N127" s="28"/>
      <c r="O127" s="28"/>
      <c r="P127" s="28"/>
      <c r="R127" s="69"/>
      <c r="S127" s="50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AB209"/>
  <sheetViews>
    <sheetView topLeftCell="A37" workbookViewId="0">
      <selection activeCell="U50" sqref="U50"/>
    </sheetView>
  </sheetViews>
  <sheetFormatPr baseColWidth="10" defaultRowHeight="15" x14ac:dyDescent="0.25"/>
  <cols>
    <col min="1" max="2" width="11.42578125" style="90"/>
    <col min="3" max="3" width="15.140625" style="90" bestFit="1" customWidth="1"/>
    <col min="4" max="4" width="14" style="90" customWidth="1"/>
    <col min="5" max="5" width="13.140625" style="90" customWidth="1"/>
    <col min="6" max="7" width="11.42578125" style="90"/>
    <col min="8" max="8" width="13" style="90" customWidth="1"/>
    <col min="9" max="9" width="12.7109375" style="90" customWidth="1"/>
    <col min="10" max="11" width="12.85546875" style="90" customWidth="1"/>
    <col min="12" max="12" width="13.5703125" style="90" customWidth="1"/>
    <col min="13" max="14" width="11.42578125" style="90"/>
    <col min="15" max="15" width="13.140625" style="90" customWidth="1"/>
    <col min="16" max="18" width="11.42578125" style="90"/>
  </cols>
  <sheetData>
    <row r="1" spans="1:18" x14ac:dyDescent="0.2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</row>
    <row r="2" spans="1:18" ht="21" x14ac:dyDescent="0.35">
      <c r="A2"/>
      <c r="B2" s="94" t="s">
        <v>108</v>
      </c>
      <c r="C2"/>
      <c r="D2"/>
      <c r="E2"/>
      <c r="F2"/>
      <c r="G2" s="95"/>
      <c r="H2"/>
      <c r="I2"/>
      <c r="J2"/>
      <c r="K2"/>
      <c r="L2"/>
      <c r="M2"/>
      <c r="N2"/>
      <c r="O2"/>
      <c r="P2"/>
      <c r="Q2"/>
      <c r="R2"/>
    </row>
    <row r="3" spans="1:18" x14ac:dyDescent="0.25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</row>
    <row r="4" spans="1:18" x14ac:dyDescent="0.25">
      <c r="A4"/>
      <c r="B4" t="s">
        <v>109</v>
      </c>
      <c r="C4" s="96">
        <f>Tabelle1!K8</f>
        <v>43497.775694444441</v>
      </c>
      <c r="D4"/>
      <c r="E4"/>
      <c r="F4"/>
      <c r="G4"/>
      <c r="H4"/>
      <c r="I4"/>
      <c r="J4"/>
      <c r="K4"/>
      <c r="L4"/>
      <c r="M4"/>
      <c r="N4"/>
      <c r="O4"/>
      <c r="P4"/>
      <c r="Q4"/>
      <c r="R4"/>
    </row>
    <row r="5" spans="1:18" x14ac:dyDescent="0.25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</row>
    <row r="6" spans="1:18" x14ac:dyDescent="0.25">
      <c r="A6"/>
      <c r="B6" t="s">
        <v>110</v>
      </c>
      <c r="C6"/>
      <c r="D6"/>
      <c r="E6"/>
      <c r="F6"/>
      <c r="G6"/>
      <c r="H6"/>
      <c r="I6"/>
      <c r="J6"/>
      <c r="K6"/>
      <c r="L6"/>
      <c r="M6" s="28" t="s">
        <v>111</v>
      </c>
      <c r="N6" s="28"/>
      <c r="O6" s="28"/>
      <c r="P6" s="28"/>
      <c r="Q6"/>
      <c r="R6"/>
    </row>
    <row r="7" spans="1:18" x14ac:dyDescent="0.25">
      <c r="A7"/>
      <c r="B7"/>
      <c r="C7"/>
      <c r="D7"/>
      <c r="E7"/>
      <c r="F7"/>
      <c r="G7"/>
      <c r="H7"/>
      <c r="I7"/>
      <c r="J7"/>
      <c r="K7"/>
      <c r="L7"/>
      <c r="M7" s="97" t="s">
        <v>112</v>
      </c>
      <c r="N7" s="28"/>
      <c r="O7" s="28"/>
      <c r="P7" s="28"/>
      <c r="Q7"/>
      <c r="R7"/>
    </row>
    <row r="8" spans="1:18" x14ac:dyDescent="0.25">
      <c r="A8"/>
      <c r="B8"/>
      <c r="C8"/>
      <c r="D8"/>
      <c r="E8"/>
      <c r="F8"/>
      <c r="G8"/>
      <c r="H8"/>
      <c r="I8"/>
      <c r="J8"/>
      <c r="K8"/>
      <c r="L8"/>
      <c r="M8" t="s">
        <v>113</v>
      </c>
      <c r="N8"/>
      <c r="O8" s="28"/>
      <c r="P8" s="28"/>
      <c r="Q8"/>
      <c r="R8"/>
    </row>
    <row r="9" spans="1:18" x14ac:dyDescent="0.25">
      <c r="A9"/>
      <c r="B9"/>
      <c r="C9"/>
      <c r="D9"/>
      <c r="E9"/>
      <c r="F9"/>
      <c r="G9"/>
      <c r="H9"/>
      <c r="I9"/>
      <c r="J9"/>
      <c r="K9"/>
      <c r="L9"/>
      <c r="M9" s="98" t="s">
        <v>114</v>
      </c>
      <c r="N9"/>
      <c r="O9"/>
      <c r="P9"/>
      <c r="Q9"/>
      <c r="R9"/>
    </row>
    <row r="10" spans="1:18" x14ac:dyDescent="0.25">
      <c r="A10"/>
      <c r="B10" t="s">
        <v>115</v>
      </c>
      <c r="C10"/>
      <c r="D10"/>
      <c r="E10"/>
      <c r="F10"/>
      <c r="G10"/>
      <c r="H10"/>
      <c r="I10"/>
      <c r="J10"/>
      <c r="K10"/>
      <c r="L10"/>
      <c r="M10" t="s">
        <v>116</v>
      </c>
      <c r="N10"/>
      <c r="O10"/>
      <c r="P10"/>
      <c r="Q10"/>
      <c r="R10"/>
    </row>
    <row r="11" spans="1:18" x14ac:dyDescent="0.25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</row>
    <row r="12" spans="1:18" x14ac:dyDescent="0.25">
      <c r="A12"/>
      <c r="B12"/>
      <c r="C12"/>
      <c r="D12"/>
      <c r="E12"/>
      <c r="F12"/>
      <c r="G12"/>
      <c r="H12"/>
      <c r="I12"/>
      <c r="J12"/>
      <c r="K12"/>
      <c r="L12"/>
      <c r="M12" t="s">
        <v>117</v>
      </c>
      <c r="N12"/>
      <c r="O12"/>
      <c r="P12"/>
      <c r="Q12"/>
      <c r="R12"/>
    </row>
    <row r="13" spans="1:18" x14ac:dyDescent="0.25">
      <c r="A13"/>
      <c r="B13"/>
      <c r="C13"/>
      <c r="D13"/>
      <c r="E13"/>
      <c r="F13"/>
      <c r="G13"/>
      <c r="H13"/>
      <c r="I13"/>
      <c r="J13"/>
      <c r="K13"/>
      <c r="L13"/>
      <c r="M13" s="99" t="s">
        <v>118</v>
      </c>
      <c r="N13"/>
      <c r="O13"/>
      <c r="P13"/>
      <c r="Q13"/>
      <c r="R13"/>
    </row>
    <row r="14" spans="1:18" x14ac:dyDescent="0.25">
      <c r="A14"/>
      <c r="B14"/>
      <c r="C14"/>
      <c r="D14"/>
      <c r="E14"/>
      <c r="F14"/>
      <c r="G14"/>
      <c r="H14"/>
      <c r="I14"/>
      <c r="J14"/>
      <c r="K14"/>
      <c r="L14"/>
      <c r="M14" t="s">
        <v>119</v>
      </c>
      <c r="N14"/>
      <c r="O14"/>
      <c r="P14"/>
      <c r="Q14"/>
      <c r="R14"/>
    </row>
    <row r="15" spans="1:18" x14ac:dyDescent="0.25">
      <c r="A15"/>
      <c r="B15" t="s">
        <v>120</v>
      </c>
      <c r="C15"/>
      <c r="D15" s="25">
        <f>2451544.5+C4-DATE(2000,1,1)</f>
        <v>2458516.2756944443</v>
      </c>
      <c r="E15"/>
      <c r="F15"/>
      <c r="G15"/>
      <c r="H15"/>
      <c r="I15"/>
      <c r="J15"/>
      <c r="K15"/>
      <c r="L15"/>
      <c r="M15"/>
      <c r="N15"/>
      <c r="O15"/>
      <c r="P15"/>
      <c r="Q15"/>
      <c r="R15"/>
    </row>
    <row r="16" spans="1:18" x14ac:dyDescent="0.25">
      <c r="A16"/>
      <c r="B16" t="s">
        <v>121</v>
      </c>
      <c r="C16"/>
      <c r="D16" s="100">
        <f>(D15-2451545)</f>
        <v>6971.2756944443099</v>
      </c>
      <c r="E16"/>
      <c r="F16"/>
      <c r="G16"/>
      <c r="H16"/>
      <c r="I16"/>
      <c r="J16"/>
      <c r="K16"/>
      <c r="L16"/>
      <c r="M16" t="s">
        <v>122</v>
      </c>
      <c r="N16"/>
      <c r="O16"/>
      <c r="P16"/>
      <c r="Q16"/>
      <c r="R16"/>
    </row>
    <row r="17" spans="1:18" x14ac:dyDescent="0.25">
      <c r="A17"/>
      <c r="B17" t="s">
        <v>123</v>
      </c>
      <c r="C17"/>
      <c r="D17" s="101">
        <f>(D15-2451545)/36525</f>
        <v>0.19086312647349241</v>
      </c>
      <c r="E17"/>
      <c r="F17"/>
      <c r="G17"/>
      <c r="H17"/>
      <c r="I17"/>
      <c r="J17"/>
      <c r="K17"/>
      <c r="L17"/>
      <c r="M17" s="20" t="s">
        <v>124</v>
      </c>
      <c r="N17"/>
      <c r="O17"/>
      <c r="P17"/>
      <c r="Q17" s="20"/>
      <c r="R17"/>
    </row>
    <row r="18" spans="1:18" x14ac:dyDescent="0.25">
      <c r="A18"/>
      <c r="B18"/>
      <c r="C18"/>
      <c r="D18" s="102"/>
      <c r="E18"/>
      <c r="F18"/>
      <c r="G18"/>
      <c r="H18"/>
      <c r="I18"/>
      <c r="J18"/>
      <c r="K18"/>
      <c r="L18"/>
      <c r="M18" s="103" t="s">
        <v>125</v>
      </c>
      <c r="N18"/>
      <c r="O18"/>
      <c r="P18"/>
      <c r="Q18" s="20"/>
      <c r="R18"/>
    </row>
    <row r="19" spans="1:18" x14ac:dyDescent="0.25">
      <c r="A19"/>
      <c r="B19" t="s">
        <v>126</v>
      </c>
      <c r="C19"/>
      <c r="D19" s="104" t="s">
        <v>127</v>
      </c>
      <c r="E19"/>
      <c r="F19"/>
      <c r="G19"/>
      <c r="H19"/>
      <c r="I19"/>
      <c r="J19"/>
      <c r="K19"/>
      <c r="L19"/>
      <c r="M19"/>
      <c r="N19"/>
      <c r="O19"/>
      <c r="P19"/>
      <c r="Q19" s="20"/>
      <c r="R19"/>
    </row>
    <row r="20" spans="1:18" x14ac:dyDescent="0.25">
      <c r="A20"/>
      <c r="B20" s="97" t="s">
        <v>128</v>
      </c>
      <c r="C20"/>
      <c r="D20"/>
      <c r="E20"/>
      <c r="F20"/>
      <c r="G20"/>
      <c r="H20"/>
      <c r="I20"/>
      <c r="J20"/>
      <c r="K20"/>
      <c r="L20"/>
      <c r="M20" s="103" t="s">
        <v>129</v>
      </c>
      <c r="N20"/>
      <c r="O20"/>
      <c r="P20"/>
      <c r="Q20" s="20"/>
      <c r="R20"/>
    </row>
    <row r="21" spans="1:18" x14ac:dyDescent="0.25">
      <c r="A21"/>
      <c r="B21" t="s">
        <v>130</v>
      </c>
      <c r="C21"/>
      <c r="D21"/>
      <c r="E21"/>
      <c r="F21"/>
      <c r="G21"/>
      <c r="H21"/>
      <c r="I21"/>
      <c r="J21"/>
      <c r="K21"/>
      <c r="L21"/>
      <c r="M21" s="20" t="s">
        <v>131</v>
      </c>
      <c r="N21"/>
      <c r="O21"/>
      <c r="P21"/>
      <c r="Q21"/>
      <c r="R21"/>
    </row>
    <row r="22" spans="1:18" x14ac:dyDescent="0.25">
      <c r="A22"/>
      <c r="B22"/>
      <c r="C22"/>
      <c r="D22"/>
      <c r="E22"/>
      <c r="F22"/>
      <c r="G22"/>
      <c r="H22"/>
      <c r="I22"/>
      <c r="J22"/>
      <c r="K22"/>
      <c r="L22"/>
      <c r="M22" t="s">
        <v>132</v>
      </c>
      <c r="N22"/>
      <c r="O22"/>
      <c r="P22"/>
      <c r="Q22"/>
      <c r="R22"/>
    </row>
    <row r="23" spans="1:18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</row>
    <row r="24" spans="1:18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</row>
    <row r="25" spans="1:18" x14ac:dyDescent="0.25">
      <c r="A25"/>
      <c r="B25"/>
      <c r="C25" s="105" t="s">
        <v>133</v>
      </c>
      <c r="D25" s="105"/>
      <c r="E25" s="105" t="s">
        <v>134</v>
      </c>
      <c r="F25" s="105"/>
      <c r="G25" s="105"/>
      <c r="H25" s="105" t="s">
        <v>135</v>
      </c>
      <c r="I25" s="105"/>
      <c r="J25" s="105" t="s">
        <v>136</v>
      </c>
      <c r="K25" s="105"/>
      <c r="L25" s="105"/>
      <c r="M25" s="106" t="s">
        <v>137</v>
      </c>
      <c r="N25" s="107"/>
      <c r="O25" s="108"/>
      <c r="P25" s="106" t="s">
        <v>138</v>
      </c>
      <c r="Q25" s="107"/>
      <c r="R25" s="108"/>
    </row>
    <row r="26" spans="1:18" x14ac:dyDescent="0.25">
      <c r="A26"/>
      <c r="B26" s="109" t="s">
        <v>139</v>
      </c>
      <c r="C26" s="110" t="s">
        <v>39</v>
      </c>
      <c r="D26" s="111" t="s">
        <v>66</v>
      </c>
      <c r="E26" s="111" t="s">
        <v>63</v>
      </c>
      <c r="F26" s="111" t="s">
        <v>140</v>
      </c>
      <c r="G26" s="111" t="s">
        <v>140</v>
      </c>
      <c r="H26" s="110" t="s">
        <v>46</v>
      </c>
      <c r="I26" s="111" t="s">
        <v>141</v>
      </c>
      <c r="J26" s="110" t="s">
        <v>142</v>
      </c>
      <c r="K26" s="111" t="s">
        <v>143</v>
      </c>
      <c r="L26" s="111" t="s">
        <v>143</v>
      </c>
      <c r="M26" s="112" t="s">
        <v>144</v>
      </c>
      <c r="N26" s="111" t="s">
        <v>145</v>
      </c>
      <c r="O26" s="111" t="s">
        <v>145</v>
      </c>
      <c r="P26" s="110" t="s">
        <v>146</v>
      </c>
      <c r="Q26" s="111" t="s">
        <v>147</v>
      </c>
      <c r="R26" s="111" t="s">
        <v>147</v>
      </c>
    </row>
    <row r="27" spans="1:18" ht="45" x14ac:dyDescent="0.25">
      <c r="A27"/>
      <c r="B27" s="110"/>
      <c r="C27" s="110" t="s">
        <v>148</v>
      </c>
      <c r="D27" s="110" t="s">
        <v>149</v>
      </c>
      <c r="E27" s="110" t="s">
        <v>150</v>
      </c>
      <c r="F27" s="110" t="s">
        <v>151</v>
      </c>
      <c r="G27" s="110" t="s">
        <v>152</v>
      </c>
      <c r="H27" s="110"/>
      <c r="I27" s="110" t="s">
        <v>153</v>
      </c>
      <c r="J27" s="110" t="s">
        <v>154</v>
      </c>
      <c r="K27" s="110" t="s">
        <v>151</v>
      </c>
      <c r="L27" s="110" t="s">
        <v>152</v>
      </c>
      <c r="M27" s="110" t="s">
        <v>150</v>
      </c>
      <c r="N27" s="110" t="s">
        <v>151</v>
      </c>
      <c r="O27" s="110" t="s">
        <v>151</v>
      </c>
      <c r="P27" s="110" t="s">
        <v>155</v>
      </c>
      <c r="Q27" s="110" t="s">
        <v>151</v>
      </c>
      <c r="R27" s="110" t="s">
        <v>152</v>
      </c>
    </row>
    <row r="28" spans="1:18" x14ac:dyDescent="0.25">
      <c r="A28"/>
      <c r="B28" s="113" t="s">
        <v>156</v>
      </c>
      <c r="C28" s="114">
        <v>0.38709893000000001</v>
      </c>
      <c r="D28" s="114">
        <v>6.6000000000000003E-7</v>
      </c>
      <c r="E28" s="114">
        <v>252.25084000000001</v>
      </c>
      <c r="F28" s="114">
        <v>538101628.28999996</v>
      </c>
      <c r="G28" s="115">
        <f>F28/3600</f>
        <v>149472.67452499998</v>
      </c>
      <c r="H28" s="114">
        <v>0.20563069</v>
      </c>
      <c r="I28" s="114">
        <v>2.527E-5</v>
      </c>
      <c r="J28" s="114">
        <v>77.456450000000004</v>
      </c>
      <c r="K28" s="114">
        <v>573.57000000000005</v>
      </c>
      <c r="L28" s="116">
        <f>K28/3600</f>
        <v>0.15932500000000002</v>
      </c>
      <c r="M28" s="114">
        <v>7.0048700000000004</v>
      </c>
      <c r="N28" s="114">
        <v>-23.51</v>
      </c>
      <c r="O28" s="117">
        <f>N28/3600</f>
        <v>-6.5305555555555559E-3</v>
      </c>
      <c r="P28" s="114">
        <v>48.331670000000003</v>
      </c>
      <c r="Q28" s="114">
        <v>-446.3</v>
      </c>
      <c r="R28" s="115">
        <f>Q28/3600</f>
        <v>-0.12397222222222222</v>
      </c>
    </row>
    <row r="29" spans="1:18" x14ac:dyDescent="0.25">
      <c r="A29"/>
      <c r="B29" s="113" t="s">
        <v>157</v>
      </c>
      <c r="C29" s="114">
        <v>0.72333199000000004</v>
      </c>
      <c r="D29" s="114">
        <v>9.1999999999999998E-7</v>
      </c>
      <c r="E29" s="114">
        <v>181.97972999999999</v>
      </c>
      <c r="F29" s="114">
        <v>210664136.06</v>
      </c>
      <c r="G29" s="115">
        <f t="shared" ref="G29:G36" si="0">F29/3600</f>
        <v>58517.815572222222</v>
      </c>
      <c r="H29" s="114">
        <v>6.7732299999999999E-3</v>
      </c>
      <c r="I29" s="114">
        <v>-4.9379999999999998E-5</v>
      </c>
      <c r="J29" s="114">
        <v>131.53298000000001</v>
      </c>
      <c r="K29" s="114">
        <v>-108.8</v>
      </c>
      <c r="L29" s="116">
        <f t="shared" ref="L29:L36" si="1">K29/3600</f>
        <v>-3.022222222222222E-2</v>
      </c>
      <c r="M29" s="114">
        <v>3.3947099999999999</v>
      </c>
      <c r="N29" s="114">
        <v>-2.86</v>
      </c>
      <c r="O29" s="117">
        <f t="shared" ref="O29:O36" si="2">N29/3600</f>
        <v>-7.9444444444444441E-4</v>
      </c>
      <c r="P29" s="114">
        <v>76.680689999999998</v>
      </c>
      <c r="Q29" s="114">
        <v>-996.89</v>
      </c>
      <c r="R29" s="115">
        <f t="shared" ref="R29:R36" si="3">Q29/3600</f>
        <v>-0.2769138888888889</v>
      </c>
    </row>
    <row r="30" spans="1:18" x14ac:dyDescent="0.25">
      <c r="A30"/>
      <c r="B30" s="113" t="s">
        <v>158</v>
      </c>
      <c r="C30" s="114">
        <v>1.00000011</v>
      </c>
      <c r="D30" s="114">
        <v>-4.9999999999999998E-8</v>
      </c>
      <c r="E30" s="114">
        <v>100.46435</v>
      </c>
      <c r="F30" s="114">
        <v>129597740.63</v>
      </c>
      <c r="G30" s="115">
        <f t="shared" si="0"/>
        <v>35999.372397222221</v>
      </c>
      <c r="H30" s="114">
        <v>1.6710220000000001E-2</v>
      </c>
      <c r="I30" s="114">
        <v>-3.8040000000000002E-5</v>
      </c>
      <c r="J30" s="114">
        <v>102.94719000000001</v>
      </c>
      <c r="K30" s="114">
        <v>1198.28</v>
      </c>
      <c r="L30" s="116">
        <f t="shared" si="1"/>
        <v>0.33285555555555557</v>
      </c>
      <c r="M30" s="114">
        <v>5.0000000000000002E-5</v>
      </c>
      <c r="N30" s="114">
        <v>-46.94</v>
      </c>
      <c r="O30" s="117">
        <f t="shared" si="2"/>
        <v>-1.3038888888888888E-2</v>
      </c>
      <c r="P30" s="114">
        <v>-11.26064</v>
      </c>
      <c r="Q30" s="114">
        <v>-18228.25</v>
      </c>
      <c r="R30" s="115">
        <f t="shared" si="3"/>
        <v>-5.0634027777777781</v>
      </c>
    </row>
    <row r="31" spans="1:18" x14ac:dyDescent="0.25">
      <c r="A31"/>
      <c r="B31" s="113" t="s">
        <v>159</v>
      </c>
      <c r="C31" s="114">
        <v>1.52366231</v>
      </c>
      <c r="D31" s="114">
        <v>-7.2210000000000002E-5</v>
      </c>
      <c r="E31" s="114">
        <v>355.45332000000002</v>
      </c>
      <c r="F31" s="114">
        <v>68905103.780000001</v>
      </c>
      <c r="G31" s="115">
        <f t="shared" si="0"/>
        <v>19140.306605555557</v>
      </c>
      <c r="H31" s="114">
        <v>9.3412330000000002E-2</v>
      </c>
      <c r="I31" s="114">
        <v>1.1902E-4</v>
      </c>
      <c r="J31" s="114">
        <v>336.04084</v>
      </c>
      <c r="K31" s="114">
        <v>1560.78</v>
      </c>
      <c r="L31" s="116">
        <f t="shared" si="1"/>
        <v>0.43354999999999999</v>
      </c>
      <c r="M31" s="114">
        <v>1.8506100000000001</v>
      </c>
      <c r="N31" s="114">
        <v>-25.47</v>
      </c>
      <c r="O31" s="117">
        <f t="shared" si="2"/>
        <v>-7.0749999999999997E-3</v>
      </c>
      <c r="P31" s="114">
        <v>49.578539999999997</v>
      </c>
      <c r="Q31" s="114">
        <v>-1020.19</v>
      </c>
      <c r="R31" s="115">
        <f t="shared" si="3"/>
        <v>-0.28338611111111112</v>
      </c>
    </row>
    <row r="32" spans="1:18" x14ac:dyDescent="0.25">
      <c r="A32"/>
      <c r="B32" s="113" t="s">
        <v>160</v>
      </c>
      <c r="C32" s="114">
        <v>5.2033630100000003</v>
      </c>
      <c r="D32" s="114">
        <v>6.0736999999999998E-4</v>
      </c>
      <c r="E32" s="114">
        <v>34.404380000000003</v>
      </c>
      <c r="F32" s="114">
        <v>10925078.35</v>
      </c>
      <c r="G32" s="115">
        <f t="shared" si="0"/>
        <v>3034.7439861111111</v>
      </c>
      <c r="H32" s="114">
        <v>4.8392659999999997E-2</v>
      </c>
      <c r="I32" s="114">
        <v>-1.2879999999999999E-4</v>
      </c>
      <c r="J32" s="114">
        <v>14.75385</v>
      </c>
      <c r="K32" s="114">
        <v>839.93</v>
      </c>
      <c r="L32" s="116">
        <f t="shared" si="1"/>
        <v>0.23331388888888888</v>
      </c>
      <c r="M32" s="114">
        <v>1.3052999999999999</v>
      </c>
      <c r="N32" s="114">
        <v>-4.1500000000000004</v>
      </c>
      <c r="O32" s="117">
        <f t="shared" si="2"/>
        <v>-1.152777777777778E-3</v>
      </c>
      <c r="P32" s="114">
        <v>100.55615</v>
      </c>
      <c r="Q32" s="114">
        <v>1217.17</v>
      </c>
      <c r="R32" s="115">
        <f t="shared" si="3"/>
        <v>0.33810277777777781</v>
      </c>
    </row>
    <row r="33" spans="1:27" x14ac:dyDescent="0.25">
      <c r="A33"/>
      <c r="B33" s="113" t="s">
        <v>161</v>
      </c>
      <c r="C33" s="114">
        <v>9.5370703199999998</v>
      </c>
      <c r="D33" s="114">
        <v>-3.0152999999999998E-3</v>
      </c>
      <c r="E33" s="114">
        <v>49.944319999999998</v>
      </c>
      <c r="F33" s="114">
        <v>4401052.95</v>
      </c>
      <c r="G33" s="115">
        <f t="shared" si="0"/>
        <v>1222.5147083333334</v>
      </c>
      <c r="H33" s="114">
        <v>5.41506E-2</v>
      </c>
      <c r="I33" s="114">
        <v>-3.6761999999999998E-4</v>
      </c>
      <c r="J33" s="114">
        <v>92.431939999999997</v>
      </c>
      <c r="K33" s="114">
        <v>-1948.89</v>
      </c>
      <c r="L33" s="116">
        <f t="shared" si="1"/>
        <v>-0.54135833333333339</v>
      </c>
      <c r="M33" s="114">
        <v>2.4844599999999999</v>
      </c>
      <c r="N33" s="114">
        <v>6.11</v>
      </c>
      <c r="O33" s="117">
        <f t="shared" si="2"/>
        <v>1.6972222222222224E-3</v>
      </c>
      <c r="P33" s="114">
        <v>113.71504</v>
      </c>
      <c r="Q33" s="114">
        <v>-1591.05</v>
      </c>
      <c r="R33" s="115">
        <f t="shared" si="3"/>
        <v>-0.44195833333333334</v>
      </c>
    </row>
    <row r="34" spans="1:27" x14ac:dyDescent="0.25">
      <c r="A34"/>
      <c r="B34" s="113" t="s">
        <v>162</v>
      </c>
      <c r="C34" s="114">
        <v>19.191263930000002</v>
      </c>
      <c r="D34" s="114">
        <v>1.5202499999999999E-3</v>
      </c>
      <c r="E34" s="114">
        <v>313.23218000000003</v>
      </c>
      <c r="F34" s="114">
        <v>1542547.79</v>
      </c>
      <c r="G34" s="115">
        <f t="shared" si="0"/>
        <v>428.48549722222225</v>
      </c>
      <c r="H34" s="114">
        <v>4.7167710000000002E-2</v>
      </c>
      <c r="I34" s="114">
        <v>-1.9149999999999999E-4</v>
      </c>
      <c r="J34" s="114">
        <v>170.96423999999999</v>
      </c>
      <c r="K34" s="114">
        <v>1312.56</v>
      </c>
      <c r="L34" s="116">
        <f t="shared" si="1"/>
        <v>0.36459999999999998</v>
      </c>
      <c r="M34" s="114">
        <v>0.76985999999999999</v>
      </c>
      <c r="N34" s="114">
        <v>-2.09</v>
      </c>
      <c r="O34" s="117">
        <f t="shared" si="2"/>
        <v>-5.8055555555555551E-4</v>
      </c>
      <c r="P34" s="114">
        <v>74.229879999999994</v>
      </c>
      <c r="Q34" s="114">
        <v>-1681.4</v>
      </c>
      <c r="R34" s="115">
        <f t="shared" si="3"/>
        <v>-0.46705555555555556</v>
      </c>
    </row>
    <row r="35" spans="1:27" x14ac:dyDescent="0.25">
      <c r="A35"/>
      <c r="B35" s="113" t="s">
        <v>163</v>
      </c>
      <c r="C35" s="114">
        <v>30.068963480000001</v>
      </c>
      <c r="D35" s="114">
        <v>-1.2519600000000001E-3</v>
      </c>
      <c r="E35" s="114">
        <v>304.88002999999998</v>
      </c>
      <c r="F35" s="114">
        <v>786449.21</v>
      </c>
      <c r="G35" s="115">
        <f t="shared" si="0"/>
        <v>218.45811388888887</v>
      </c>
      <c r="H35" s="114">
        <v>8.5858700000000007E-3</v>
      </c>
      <c r="I35" s="114">
        <v>2.51E-5</v>
      </c>
      <c r="J35" s="114">
        <v>44.971350000000001</v>
      </c>
      <c r="K35" s="114">
        <v>-844.43</v>
      </c>
      <c r="L35" s="116">
        <f t="shared" si="1"/>
        <v>-0.23456388888888888</v>
      </c>
      <c r="M35" s="114">
        <v>1.7691699999999999</v>
      </c>
      <c r="N35" s="114">
        <v>-3.64</v>
      </c>
      <c r="O35" s="117">
        <f t="shared" si="2"/>
        <v>-1.0111111111111111E-3</v>
      </c>
      <c r="P35" s="114">
        <v>131.72169</v>
      </c>
      <c r="Q35" s="114">
        <v>-151.25</v>
      </c>
      <c r="R35" s="115">
        <f t="shared" si="3"/>
        <v>-4.2013888888888892E-2</v>
      </c>
    </row>
    <row r="36" spans="1:27" x14ac:dyDescent="0.25">
      <c r="A36"/>
      <c r="B36" s="113" t="s">
        <v>164</v>
      </c>
      <c r="C36" s="114">
        <v>39.481686770000003</v>
      </c>
      <c r="D36" s="114">
        <v>-7.6911999999999998E-4</v>
      </c>
      <c r="E36" s="114">
        <v>238.92881</v>
      </c>
      <c r="F36" s="114">
        <v>522747.9</v>
      </c>
      <c r="G36" s="115">
        <f t="shared" si="0"/>
        <v>145.20775</v>
      </c>
      <c r="H36" s="114">
        <v>0.24880766000000001</v>
      </c>
      <c r="I36" s="114">
        <v>6.4649999999999999E-5</v>
      </c>
      <c r="J36" s="114">
        <v>224.06675999999999</v>
      </c>
      <c r="K36" s="114">
        <v>-132.25</v>
      </c>
      <c r="L36" s="116">
        <f t="shared" si="1"/>
        <v>-3.6736111111111108E-2</v>
      </c>
      <c r="M36" s="114">
        <v>17.141749999999998</v>
      </c>
      <c r="N36" s="114">
        <v>11.07</v>
      </c>
      <c r="O36" s="117">
        <f t="shared" si="2"/>
        <v>3.075E-3</v>
      </c>
      <c r="P36" s="114">
        <v>110.30347</v>
      </c>
      <c r="Q36" s="114">
        <v>-37.33</v>
      </c>
      <c r="R36" s="115">
        <f t="shared" si="3"/>
        <v>-1.0369444444444443E-2</v>
      </c>
    </row>
    <row r="37" spans="1:27" x14ac:dyDescent="0.25">
      <c r="A37"/>
      <c r="B37"/>
      <c r="C37" s="103"/>
      <c r="D37"/>
      <c r="E37"/>
      <c r="F37"/>
      <c r="G37" s="118"/>
      <c r="H37" s="118"/>
      <c r="I37" s="118"/>
      <c r="J37" s="118"/>
      <c r="K37" s="118"/>
      <c r="L37" s="118"/>
      <c r="M37" s="118"/>
      <c r="N37"/>
      <c r="O37"/>
      <c r="P37"/>
      <c r="Q37"/>
      <c r="R37"/>
    </row>
    <row r="38" spans="1:27" ht="15.75" x14ac:dyDescent="0.25">
      <c r="A38"/>
      <c r="B38"/>
      <c r="C38"/>
      <c r="D38"/>
      <c r="E38"/>
      <c r="F38"/>
      <c r="G38" s="119"/>
      <c r="H38" s="19"/>
      <c r="I38" s="19"/>
      <c r="J38" s="19"/>
      <c r="K38" s="19"/>
      <c r="L38" s="19"/>
      <c r="M38" s="19"/>
      <c r="N38"/>
      <c r="O38"/>
      <c r="P38"/>
      <c r="Q38"/>
      <c r="R38"/>
    </row>
    <row r="39" spans="1:27" x14ac:dyDescent="0.25">
      <c r="A39"/>
      <c r="B39" s="105"/>
      <c r="C39" s="120" t="s">
        <v>148</v>
      </c>
      <c r="D39" s="20"/>
      <c r="E39" s="121" t="s">
        <v>165</v>
      </c>
      <c r="F39" s="105"/>
      <c r="G39" s="20"/>
      <c r="H39" s="105" t="s">
        <v>166</v>
      </c>
      <c r="I39" s="19"/>
      <c r="J39" s="105" t="s">
        <v>51</v>
      </c>
      <c r="K39" s="19"/>
      <c r="L39" s="122" t="s">
        <v>167</v>
      </c>
      <c r="M39" s="19"/>
      <c r="N39" s="105" t="s">
        <v>168</v>
      </c>
      <c r="O39"/>
      <c r="P39" s="105" t="s">
        <v>169</v>
      </c>
      <c r="Q39" s="20"/>
      <c r="R39" s="274"/>
      <c r="S39" s="89"/>
      <c r="T39" s="19"/>
      <c r="U39" s="19"/>
      <c r="V39" s="275"/>
      <c r="W39" s="19"/>
      <c r="X39" s="19"/>
      <c r="Y39" s="19"/>
      <c r="Z39" s="19"/>
      <c r="AA39" s="19"/>
    </row>
    <row r="40" spans="1:27" x14ac:dyDescent="0.25">
      <c r="A40"/>
      <c r="B40" s="105"/>
      <c r="C40" s="105"/>
      <c r="D40" s="20"/>
      <c r="E40" s="105" t="s">
        <v>170</v>
      </c>
      <c r="F40" s="120" t="s">
        <v>171</v>
      </c>
      <c r="G40" s="20"/>
      <c r="H40" s="124" t="s">
        <v>46</v>
      </c>
      <c r="I40" s="19"/>
      <c r="J40" s="125" t="s">
        <v>172</v>
      </c>
      <c r="K40" s="19"/>
      <c r="L40" s="122" t="s">
        <v>173</v>
      </c>
      <c r="M40" s="19"/>
      <c r="N40" s="126" t="s">
        <v>174</v>
      </c>
      <c r="O40"/>
      <c r="P40" s="105" t="s">
        <v>42</v>
      </c>
      <c r="Q40" s="20"/>
      <c r="R40" s="89"/>
      <c r="S40" s="89"/>
      <c r="T40" s="19"/>
      <c r="U40" s="19"/>
      <c r="V40" s="276"/>
      <c r="W40" s="77"/>
      <c r="X40" s="77"/>
      <c r="Y40" s="77"/>
      <c r="Z40" s="77"/>
      <c r="AA40" s="19"/>
    </row>
    <row r="41" spans="1:27" x14ac:dyDescent="0.25">
      <c r="A41"/>
      <c r="B41" s="105" t="s">
        <v>156</v>
      </c>
      <c r="C41" s="127">
        <f>C28+D28*$D$17</f>
        <v>0.38709905596966349</v>
      </c>
      <c r="D41" s="20"/>
      <c r="E41" s="128">
        <f>E28+G28*$D$17</f>
        <v>28781.072822196238</v>
      </c>
      <c r="F41" s="60">
        <f>E41-INT(E41/360)*360</f>
        <v>341.07282219623812</v>
      </c>
      <c r="G41" s="20"/>
      <c r="H41" s="129">
        <f>H28+I28*$D$17</f>
        <v>0.20563551311120598</v>
      </c>
      <c r="I41" s="19"/>
      <c r="J41" s="60">
        <f>J28+L28*$D$17</f>
        <v>77.486859267625391</v>
      </c>
      <c r="K41" s="88"/>
      <c r="L41" s="130">
        <f>M28+O28*$D$17</f>
        <v>7.0036235577490586</v>
      </c>
      <c r="M41" s="19"/>
      <c r="N41" s="131">
        <f>P28+R28*$D$17</f>
        <v>48.308008274070801</v>
      </c>
      <c r="O41"/>
      <c r="P41" s="132">
        <f>ASIN(SIN(RADIANS(L41))*SIN(RADIANS(F41-N41)))*180/PI()</f>
        <v>-6.4556279427478342</v>
      </c>
      <c r="Q41" s="20"/>
      <c r="R41" s="89"/>
      <c r="S41" s="89"/>
      <c r="T41" s="19"/>
      <c r="U41" s="19"/>
      <c r="V41" s="276"/>
      <c r="W41" s="77"/>
      <c r="X41" s="77"/>
      <c r="Y41" s="77"/>
      <c r="Z41" s="77"/>
      <c r="AA41" s="19"/>
    </row>
    <row r="42" spans="1:27" x14ac:dyDescent="0.25">
      <c r="A42"/>
      <c r="B42" s="105" t="s">
        <v>157</v>
      </c>
      <c r="C42" s="127">
        <f t="shared" ref="C42:C48" si="4">C29+D29*$D$17</f>
        <v>0.72333216559407643</v>
      </c>
      <c r="D42" s="20"/>
      <c r="E42" s="128">
        <f t="shared" ref="E42:E48" si="5">E29+G29*$D$17</f>
        <v>11350.872964513552</v>
      </c>
      <c r="F42" s="60">
        <f t="shared" ref="F42:F48" si="6">E42-INT(E42/360)*360</f>
        <v>190.87296451355178</v>
      </c>
      <c r="G42" s="20"/>
      <c r="H42" s="129">
        <f t="shared" ref="H42:H48" si="7">H29+I29*$D$17</f>
        <v>6.7638051788147385E-3</v>
      </c>
      <c r="I42" s="19"/>
      <c r="J42" s="60">
        <f t="shared" ref="J42:J48" si="8">J29+L29*$D$17</f>
        <v>131.5272116921777</v>
      </c>
      <c r="K42" s="19"/>
      <c r="L42" s="130">
        <f t="shared" ref="L42:L48" si="9">M29+O29*$D$17</f>
        <v>3.3945583698495239</v>
      </c>
      <c r="M42" s="19"/>
      <c r="N42" s="131">
        <f t="shared" ref="N42:N48" si="10">P29+R29*$D$17</f>
        <v>76.627837349402725</v>
      </c>
      <c r="O42"/>
      <c r="P42" s="132">
        <f t="shared" ref="P42:P48" si="11">ASIN(SIN(RADIANS(L42))*SIN(RADIANS(F42-N42)))*180/PI()</f>
        <v>3.0948423556354654</v>
      </c>
      <c r="Q42" s="20"/>
      <c r="R42" s="89"/>
      <c r="S42" s="89"/>
      <c r="T42" s="19"/>
      <c r="U42" s="19"/>
      <c r="V42" s="276"/>
      <c r="W42" s="77"/>
      <c r="X42" s="77"/>
      <c r="Y42" s="77"/>
      <c r="Z42" s="77"/>
      <c r="AA42" s="19"/>
    </row>
    <row r="43" spans="1:27" x14ac:dyDescent="0.25">
      <c r="A43"/>
      <c r="B43" s="105" t="s">
        <v>158</v>
      </c>
      <c r="C43" s="127">
        <f t="shared" si="4"/>
        <v>1.0000001004568437</v>
      </c>
      <c r="D43" s="20"/>
      <c r="E43" s="128">
        <f t="shared" si="5"/>
        <v>6971.4171168173762</v>
      </c>
      <c r="F43" s="60">
        <f t="shared" si="6"/>
        <v>131.41711681737615</v>
      </c>
      <c r="G43" s="20"/>
      <c r="H43" s="129">
        <f t="shared" si="7"/>
        <v>1.6702959566668951E-2</v>
      </c>
      <c r="I43" s="19"/>
      <c r="J43" s="60">
        <f t="shared" si="8"/>
        <v>103.01071985199741</v>
      </c>
      <c r="K43" s="19"/>
      <c r="L43" s="130">
        <f t="shared" si="9"/>
        <v>-2.4386430990738146E-3</v>
      </c>
      <c r="M43" s="19"/>
      <c r="N43" s="131">
        <f t="shared" si="10"/>
        <v>-12.227056884761232</v>
      </c>
      <c r="O43"/>
      <c r="P43" s="132">
        <f t="shared" si="11"/>
        <v>-1.4456231321377934E-3</v>
      </c>
      <c r="Q43" s="20"/>
      <c r="R43" s="89"/>
      <c r="S43" s="89"/>
      <c r="T43" s="19"/>
      <c r="U43" s="19"/>
      <c r="V43" s="276"/>
      <c r="W43" s="77"/>
      <c r="X43" s="77"/>
      <c r="Y43" s="77"/>
      <c r="Z43" s="77"/>
      <c r="AA43" s="19"/>
    </row>
    <row r="44" spans="1:27" x14ac:dyDescent="0.25">
      <c r="A44"/>
      <c r="B44" s="105" t="s">
        <v>159</v>
      </c>
      <c r="C44" s="127">
        <f t="shared" si="4"/>
        <v>1.5236485277736374</v>
      </c>
      <c r="D44" s="20"/>
      <c r="E44" s="128">
        <f t="shared" si="5"/>
        <v>4008.6320803975727</v>
      </c>
      <c r="F44" s="60">
        <f t="shared" si="6"/>
        <v>48.632080397572736</v>
      </c>
      <c r="G44" s="20"/>
      <c r="H44" s="129">
        <f t="shared" si="7"/>
        <v>9.3435046529312879E-2</v>
      </c>
      <c r="I44" s="19"/>
      <c r="J44" s="60">
        <f t="shared" si="8"/>
        <v>336.1235887084826</v>
      </c>
      <c r="K44" s="19"/>
      <c r="L44" s="130">
        <f t="shared" si="9"/>
        <v>1.8492596433802002</v>
      </c>
      <c r="M44" s="19"/>
      <c r="N44" s="131">
        <f t="shared" si="10"/>
        <v>49.524452040834163</v>
      </c>
      <c r="O44"/>
      <c r="P44" s="132">
        <f t="shared" si="11"/>
        <v>-2.8795728903100899E-2</v>
      </c>
      <c r="Q44" s="20"/>
      <c r="R44" s="277"/>
      <c r="S44" s="89"/>
      <c r="T44" s="19"/>
      <c r="U44" s="19"/>
      <c r="V44" s="276"/>
      <c r="W44" s="77"/>
      <c r="X44" s="77"/>
      <c r="Y44" s="77"/>
      <c r="Z44" s="77"/>
      <c r="AA44" s="19"/>
    </row>
    <row r="45" spans="1:27" x14ac:dyDescent="0.25">
      <c r="A45"/>
      <c r="B45" s="105" t="s">
        <v>160</v>
      </c>
      <c r="C45" s="127">
        <f t="shared" si="4"/>
        <v>5.2034789345371264</v>
      </c>
      <c r="D45" s="20"/>
      <c r="E45" s="128">
        <f t="shared" si="5"/>
        <v>613.62510523579544</v>
      </c>
      <c r="F45" s="60">
        <f t="shared" si="6"/>
        <v>253.62510523579544</v>
      </c>
      <c r="G45" s="20"/>
      <c r="H45" s="129">
        <f t="shared" si="7"/>
        <v>4.8368076829310214E-2</v>
      </c>
      <c r="I45" s="19"/>
      <c r="J45" s="60">
        <f t="shared" si="8"/>
        <v>14.798381018283022</v>
      </c>
      <c r="K45" s="19"/>
      <c r="L45" s="130">
        <f t="shared" si="9"/>
        <v>1.3050799772292041</v>
      </c>
      <c r="M45" s="19"/>
      <c r="N45" s="131">
        <f t="shared" si="10"/>
        <v>100.62068135323604</v>
      </c>
      <c r="O45"/>
      <c r="P45" s="132">
        <f t="shared" si="11"/>
        <v>0.59236345274535374</v>
      </c>
      <c r="Q45" s="20"/>
      <c r="R45" s="89"/>
      <c r="S45" s="89"/>
      <c r="T45" s="19"/>
      <c r="U45" s="19"/>
      <c r="V45" s="276"/>
      <c r="W45" s="77"/>
      <c r="X45" s="77"/>
      <c r="Y45" s="77"/>
      <c r="Z45" s="77"/>
      <c r="AA45" s="19"/>
    </row>
    <row r="46" spans="1:27" x14ac:dyDescent="0.25">
      <c r="A46"/>
      <c r="B46" s="105" t="s">
        <v>161</v>
      </c>
      <c r="C46" s="127">
        <f t="shared" si="4"/>
        <v>9.5364948104147444</v>
      </c>
      <c r="D46" s="20"/>
      <c r="E46" s="128">
        <f t="shared" si="5"/>
        <v>283.27729939232967</v>
      </c>
      <c r="F46" s="60">
        <f t="shared" si="6"/>
        <v>283.27729939232967</v>
      </c>
      <c r="G46" s="20"/>
      <c r="H46" s="129">
        <f t="shared" si="7"/>
        <v>5.4080434897445816E-2</v>
      </c>
      <c r="I46" s="19"/>
      <c r="J46" s="60">
        <f t="shared" si="8"/>
        <v>92.328614655957523</v>
      </c>
      <c r="K46" s="19"/>
      <c r="L46" s="130">
        <f t="shared" si="9"/>
        <v>2.4847839371396536</v>
      </c>
      <c r="M46" s="19"/>
      <c r="N46" s="131">
        <f t="shared" si="10"/>
        <v>113.63068645072899</v>
      </c>
      <c r="O46"/>
      <c r="P46" s="132">
        <f t="shared" si="11"/>
        <v>0.44642719130140202</v>
      </c>
      <c r="Q46" s="20"/>
      <c r="R46" s="89"/>
      <c r="S46" s="89"/>
      <c r="T46" s="19"/>
      <c r="U46" s="19"/>
      <c r="V46" s="276"/>
      <c r="W46" s="77"/>
      <c r="X46" s="77"/>
      <c r="Y46" s="77"/>
      <c r="Z46" s="77"/>
      <c r="AA46" s="19"/>
    </row>
    <row r="47" spans="1:27" x14ac:dyDescent="0.25">
      <c r="A47"/>
      <c r="B47" s="105" t="s">
        <v>162</v>
      </c>
      <c r="C47" s="127">
        <f t="shared" si="4"/>
        <v>19.191554089668024</v>
      </c>
      <c r="D47" s="20"/>
      <c r="E47" s="128">
        <f t="shared" si="5"/>
        <v>395.01426164838233</v>
      </c>
      <c r="F47" s="60">
        <f t="shared" si="6"/>
        <v>35.01426164838233</v>
      </c>
      <c r="G47" s="20"/>
      <c r="H47" s="129">
        <f t="shared" si="7"/>
        <v>4.7131159711280325E-2</v>
      </c>
      <c r="I47"/>
      <c r="J47" s="60">
        <f t="shared" si="8"/>
        <v>171.03382869591223</v>
      </c>
      <c r="K47"/>
      <c r="L47" s="130">
        <f t="shared" si="9"/>
        <v>0.7697491933515751</v>
      </c>
      <c r="M47"/>
      <c r="N47" s="131">
        <f t="shared" si="10"/>
        <v>74.140736316429852</v>
      </c>
      <c r="O47"/>
      <c r="P47" s="132">
        <f t="shared" si="11"/>
        <v>-0.4857293713854452</v>
      </c>
      <c r="Q47" s="20"/>
      <c r="R47" s="89"/>
      <c r="S47" s="89"/>
      <c r="T47" s="19"/>
      <c r="U47" s="19"/>
      <c r="V47" s="19"/>
      <c r="W47" s="19"/>
      <c r="X47" s="19"/>
      <c r="Y47" s="19"/>
      <c r="Z47" s="19"/>
      <c r="AA47" s="19"/>
    </row>
    <row r="48" spans="1:27" x14ac:dyDescent="0.25">
      <c r="A48"/>
      <c r="B48" s="105" t="s">
        <v>163</v>
      </c>
      <c r="C48" s="127">
        <f t="shared" si="4"/>
        <v>30.068724527000182</v>
      </c>
      <c r="D48" s="20"/>
      <c r="E48" s="128">
        <f t="shared" si="5"/>
        <v>346.57562862033558</v>
      </c>
      <c r="F48" s="60">
        <f t="shared" si="6"/>
        <v>346.57562862033558</v>
      </c>
      <c r="G48" s="20"/>
      <c r="H48" s="129">
        <f t="shared" si="7"/>
        <v>8.5906606644744858E-3</v>
      </c>
      <c r="I48"/>
      <c r="J48" s="60">
        <f t="shared" si="8"/>
        <v>44.926580402808888</v>
      </c>
      <c r="K48"/>
      <c r="L48" s="130">
        <f t="shared" si="9"/>
        <v>1.7689770161721212</v>
      </c>
      <c r="M48" s="133"/>
      <c r="N48" s="131">
        <f t="shared" si="10"/>
        <v>131.71367109781136</v>
      </c>
      <c r="O48"/>
      <c r="P48" s="132">
        <f t="shared" si="11"/>
        <v>-1.0110412078276783</v>
      </c>
      <c r="Q48" s="20"/>
      <c r="R48" s="89"/>
      <c r="S48" s="89"/>
      <c r="T48" s="19"/>
      <c r="U48" s="19"/>
      <c r="V48" s="19"/>
      <c r="W48" s="19"/>
      <c r="X48" s="19"/>
      <c r="Y48" s="19"/>
      <c r="Z48" s="19"/>
      <c r="AA48" s="19"/>
    </row>
    <row r="49" spans="1:28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 s="89"/>
      <c r="S49" s="89"/>
      <c r="T49" s="19"/>
      <c r="U49" s="19"/>
      <c r="V49" s="19"/>
      <c r="W49" s="19"/>
      <c r="X49" s="19"/>
      <c r="Y49" s="19"/>
      <c r="Z49" s="89"/>
      <c r="AA49" s="89"/>
      <c r="AB49" s="89"/>
    </row>
    <row r="50" spans="1:28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 s="89"/>
      <c r="S50" s="89"/>
      <c r="T50" s="19"/>
      <c r="U50" s="19"/>
      <c r="V50" s="19"/>
      <c r="W50" s="19"/>
      <c r="X50" s="19"/>
      <c r="Y50" s="19"/>
      <c r="Z50" s="89"/>
      <c r="AA50" s="89"/>
      <c r="AB50" s="89"/>
    </row>
    <row r="51" spans="1:28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 s="89"/>
      <c r="S51" s="19"/>
      <c r="T51" s="19"/>
      <c r="U51" s="19"/>
      <c r="V51" s="19"/>
      <c r="W51" s="19"/>
      <c r="X51" s="19"/>
      <c r="Y51" s="89"/>
      <c r="Z51" s="89"/>
      <c r="AA51" s="89"/>
      <c r="AB51" s="89"/>
    </row>
    <row r="52" spans="1:28" x14ac:dyDescent="0.25">
      <c r="A52"/>
      <c r="B52"/>
      <c r="C52"/>
      <c r="D52"/>
      <c r="E52"/>
      <c r="F52"/>
      <c r="G52" s="134"/>
      <c r="H52"/>
      <c r="I52"/>
      <c r="J52" s="28"/>
      <c r="K52"/>
      <c r="L52"/>
      <c r="M52"/>
      <c r="N52" s="134"/>
      <c r="O52" s="20"/>
      <c r="P52"/>
      <c r="Q52"/>
      <c r="R52" s="19"/>
      <c r="S52" s="19"/>
      <c r="T52" s="19"/>
      <c r="U52" s="19"/>
      <c r="V52" s="19"/>
      <c r="W52" s="19"/>
      <c r="X52" s="278"/>
      <c r="Y52" s="89"/>
      <c r="Z52" s="89"/>
      <c r="AA52" s="89"/>
      <c r="AB52" s="89"/>
    </row>
    <row r="53" spans="1:28" x14ac:dyDescent="0.25">
      <c r="A53"/>
      <c r="B53" s="105"/>
      <c r="C53" s="105" t="s">
        <v>62</v>
      </c>
      <c r="D53" s="135"/>
      <c r="E53"/>
      <c r="F53" s="105" t="s">
        <v>175</v>
      </c>
      <c r="G53"/>
      <c r="H53" s="105" t="s">
        <v>176</v>
      </c>
      <c r="I53" s="135"/>
      <c r="J53" s="105" t="s">
        <v>129</v>
      </c>
      <c r="K53"/>
      <c r="L53" s="105" t="s">
        <v>129</v>
      </c>
      <c r="M53" s="135"/>
      <c r="N53" s="105" t="s">
        <v>177</v>
      </c>
      <c r="O53" s="20"/>
      <c r="P53" s="122" t="s">
        <v>177</v>
      </c>
      <c r="Q53"/>
      <c r="R53" s="89"/>
      <c r="S53" s="89"/>
      <c r="T53" s="19"/>
      <c r="U53" s="19"/>
      <c r="V53" s="19"/>
      <c r="W53" s="19"/>
      <c r="X53" s="278"/>
      <c r="Y53" s="89"/>
      <c r="Z53" s="89"/>
      <c r="AA53" s="89"/>
      <c r="AB53" s="89"/>
    </row>
    <row r="54" spans="1:28" x14ac:dyDescent="0.25">
      <c r="A54"/>
      <c r="B54" s="105"/>
      <c r="C54" s="105" t="s">
        <v>58</v>
      </c>
      <c r="D54" s="136"/>
      <c r="E54"/>
      <c r="F54" s="137" t="s">
        <v>178</v>
      </c>
      <c r="G54"/>
      <c r="H54" s="137" t="s">
        <v>179</v>
      </c>
      <c r="I54" s="136"/>
      <c r="J54" s="105" t="s">
        <v>180</v>
      </c>
      <c r="K54"/>
      <c r="L54" s="105" t="s">
        <v>181</v>
      </c>
      <c r="M54" s="136"/>
      <c r="N54" s="105" t="s">
        <v>182</v>
      </c>
      <c r="O54" s="138"/>
      <c r="P54" s="122" t="s">
        <v>183</v>
      </c>
      <c r="Q54"/>
      <c r="R54" s="89"/>
      <c r="S54" s="89"/>
      <c r="T54" s="19"/>
      <c r="U54" s="19"/>
      <c r="V54" s="19"/>
      <c r="W54" s="19"/>
      <c r="X54" s="279"/>
      <c r="Y54" s="89"/>
      <c r="Z54" s="280"/>
      <c r="AA54" s="89"/>
      <c r="AB54" s="89"/>
    </row>
    <row r="55" spans="1:28" x14ac:dyDescent="0.25">
      <c r="A55"/>
      <c r="B55" s="105"/>
      <c r="C55" s="105"/>
      <c r="D55"/>
      <c r="E55"/>
      <c r="F55" s="122"/>
      <c r="G55"/>
      <c r="H55" s="105"/>
      <c r="I55" s="138"/>
      <c r="J55" s="105"/>
      <c r="K55"/>
      <c r="L55" s="105"/>
      <c r="M55" s="138"/>
      <c r="N55" s="105"/>
      <c r="O55" s="50"/>
      <c r="P55" s="139"/>
      <c r="Q55"/>
      <c r="R55" s="89"/>
      <c r="S55" s="89"/>
      <c r="T55" s="19"/>
      <c r="U55" s="19"/>
      <c r="V55" s="19"/>
      <c r="W55" s="19"/>
      <c r="X55" s="278"/>
      <c r="Y55" s="88"/>
      <c r="Z55" s="280"/>
      <c r="AA55" s="89"/>
      <c r="AB55" s="89"/>
    </row>
    <row r="56" spans="1:28" x14ac:dyDescent="0.25">
      <c r="A56"/>
      <c r="B56" s="105" t="s">
        <v>156</v>
      </c>
      <c r="C56" s="130">
        <f t="shared" ref="C56:C63" si="12">IF(F41&lt;J41,360+F41-J41,F41-J41)</f>
        <v>263.58596292861273</v>
      </c>
      <c r="D56" s="50"/>
      <c r="E56" s="98"/>
      <c r="F56" s="140">
        <f>C56+180/PI()*(((H41-1/8*H41^3)*SIN(RADIANS(C56))+(1/2)*(H41^2)*SIN(RADIANS(2*C56)))+3/8*H41^3*SIN(RADIANS(3*C56)))</f>
        <v>252.38490851634472</v>
      </c>
      <c r="G56"/>
      <c r="H56" s="140">
        <f>C56+180/PI()*((2*H41-0.25*H41^3)*SIN(RADIANS(C56))+5/4*H41^2*SIN(RADIANS(2*C56))+13/12*H41^3*SIN(RADIANS(3*C56)))</f>
        <v>241.47512986979964</v>
      </c>
      <c r="I56" s="65"/>
      <c r="J56" s="140">
        <f>E159</f>
        <v>0.411254801731681</v>
      </c>
      <c r="K56"/>
      <c r="L56" s="132">
        <f>J56*149.7</f>
        <v>61.564843819232642</v>
      </c>
      <c r="M56" s="50"/>
      <c r="N56" s="132">
        <f>E201</f>
        <v>1.3927512708066951</v>
      </c>
      <c r="O56" s="141"/>
      <c r="P56" s="132">
        <f>N56*149.7</f>
        <v>208.49486523976225</v>
      </c>
      <c r="Q56"/>
      <c r="R56" s="89"/>
      <c r="S56" s="89"/>
      <c r="T56" s="19"/>
      <c r="U56" s="19"/>
      <c r="V56" s="19"/>
      <c r="W56" s="19"/>
      <c r="X56" s="278"/>
      <c r="Y56" s="88"/>
      <c r="Z56" s="88"/>
      <c r="AA56" s="89"/>
      <c r="AB56" s="89"/>
    </row>
    <row r="57" spans="1:28" x14ac:dyDescent="0.25">
      <c r="A57"/>
      <c r="B57" s="105" t="s">
        <v>157</v>
      </c>
      <c r="C57" s="130">
        <f t="shared" si="12"/>
        <v>59.345752821374077</v>
      </c>
      <c r="D57" s="50"/>
      <c r="E57" s="98"/>
      <c r="F57" s="140">
        <f t="shared" ref="F57:F63" si="13">C57+180/PI()*(((H42-1/8*H42^3)*SIN(RADIANS(C57))+(1/2)*(H42^2)*SIN(RADIANS(2*C57)))+3/8*H42^3*SIN(RADIANS(3*C57)))</f>
        <v>59.680283715209406</v>
      </c>
      <c r="G57"/>
      <c r="H57" s="140">
        <f t="shared" ref="H57:H63" si="14">C57+180/PI()*((2*H42-0.25*H42^3)*SIN(RADIANS(C57))+5/4*H42^2*SIN(RADIANS(2*C57))+13/12*H42^3*SIN(RADIANS(3*C57)))</f>
        <v>60.015389658141693</v>
      </c>
      <c r="I57" s="65"/>
      <c r="J57" s="140">
        <f>F159</f>
        <v>0.72086232192579236</v>
      </c>
      <c r="K57"/>
      <c r="L57" s="132">
        <f t="shared" ref="L57:L63" si="15">J57*149.7</f>
        <v>107.91308959229112</v>
      </c>
      <c r="M57" s="50"/>
      <c r="N57" s="132">
        <f>F201</f>
        <v>0.87138039328602668</v>
      </c>
      <c r="O57" s="50"/>
      <c r="P57" s="132">
        <f>N57*149.7</f>
        <v>130.44564487491817</v>
      </c>
      <c r="Q57"/>
      <c r="R57" s="89"/>
      <c r="S57" s="89"/>
      <c r="T57" s="19"/>
      <c r="U57" s="19"/>
      <c r="V57" s="19"/>
      <c r="W57" s="19"/>
      <c r="X57" s="278"/>
      <c r="Y57" s="88"/>
      <c r="Z57" s="88"/>
      <c r="AA57" s="89"/>
      <c r="AB57" s="89"/>
    </row>
    <row r="58" spans="1:28" x14ac:dyDescent="0.25">
      <c r="A58"/>
      <c r="B58" s="105" t="s">
        <v>158</v>
      </c>
      <c r="C58" s="130">
        <f t="shared" si="12"/>
        <v>28.406396965378747</v>
      </c>
      <c r="D58" s="50"/>
      <c r="E58" s="98"/>
      <c r="F58" s="140">
        <f t="shared" si="13"/>
        <v>28.868440307419789</v>
      </c>
      <c r="G58"/>
      <c r="H58" s="140">
        <f t="shared" si="14"/>
        <v>29.333916721786181</v>
      </c>
      <c r="I58" s="65"/>
      <c r="J58" s="140">
        <f>G159</f>
        <v>0.98537280627563373</v>
      </c>
      <c r="K58"/>
      <c r="L58" s="132">
        <f t="shared" si="15"/>
        <v>147.51030909946235</v>
      </c>
      <c r="M58" s="50"/>
      <c r="N58" s="132">
        <v>0</v>
      </c>
      <c r="O58" s="9"/>
      <c r="P58" s="132">
        <f>N58*149.7</f>
        <v>0</v>
      </c>
      <c r="Q58"/>
      <c r="R58" s="89"/>
      <c r="S58" s="89"/>
      <c r="T58" s="19"/>
      <c r="U58" s="19"/>
      <c r="V58" s="19"/>
      <c r="W58" s="19"/>
      <c r="X58" s="278"/>
      <c r="Y58" s="88"/>
      <c r="Z58" s="88"/>
      <c r="AA58" s="89"/>
      <c r="AB58" s="89"/>
    </row>
    <row r="59" spans="1:28" x14ac:dyDescent="0.25">
      <c r="A59"/>
      <c r="B59" s="105" t="s">
        <v>159</v>
      </c>
      <c r="C59" s="130">
        <f t="shared" si="12"/>
        <v>72.508491689090135</v>
      </c>
      <c r="D59" s="50"/>
      <c r="E59" s="98"/>
      <c r="F59" s="140">
        <f t="shared" si="13"/>
        <v>77.741533832426541</v>
      </c>
      <c r="G59"/>
      <c r="H59" s="140">
        <f t="shared" si="14"/>
        <v>83.036781907586246</v>
      </c>
      <c r="I59" s="65"/>
      <c r="J59" s="140">
        <f>H159</f>
        <v>1.4934143370065249</v>
      </c>
      <c r="K59"/>
      <c r="L59" s="132">
        <f t="shared" si="15"/>
        <v>223.56412624987678</v>
      </c>
      <c r="M59" s="50"/>
      <c r="N59" s="132">
        <f>H201</f>
        <v>1.5374004283876621</v>
      </c>
      <c r="O59" s="50"/>
      <c r="P59" s="132">
        <f t="shared" ref="P59:P63" si="16">N59*149.7</f>
        <v>230.14884412963301</v>
      </c>
      <c r="Q59"/>
      <c r="R59" s="89"/>
      <c r="S59" s="89"/>
      <c r="T59" s="19"/>
      <c r="U59" s="19"/>
      <c r="V59" s="19"/>
      <c r="W59" s="19"/>
      <c r="X59" s="278"/>
      <c r="Y59" s="88"/>
      <c r="Z59" s="88"/>
      <c r="AA59" s="89"/>
      <c r="AB59" s="89"/>
    </row>
    <row r="60" spans="1:28" x14ac:dyDescent="0.25">
      <c r="A60"/>
      <c r="B60" s="105" t="s">
        <v>160</v>
      </c>
      <c r="C60" s="130">
        <f t="shared" si="12"/>
        <v>238.82672421751244</v>
      </c>
      <c r="D60" s="50"/>
      <c r="E60" s="98"/>
      <c r="F60" s="140">
        <f t="shared" si="13"/>
        <v>236.51550461289668</v>
      </c>
      <c r="G60"/>
      <c r="H60" s="140">
        <f t="shared" si="14"/>
        <v>234.23383491538587</v>
      </c>
      <c r="I60" s="65"/>
      <c r="J60" s="140">
        <f>I159</f>
        <v>5.3423353759268339</v>
      </c>
      <c r="K60"/>
      <c r="L60" s="132">
        <f t="shared" si="15"/>
        <v>799.74760577624693</v>
      </c>
      <c r="M60" s="50"/>
      <c r="N60" s="132">
        <f>I201</f>
        <v>5.8477932143109115</v>
      </c>
      <c r="O60" s="50"/>
      <c r="P60" s="132">
        <f t="shared" si="16"/>
        <v>875.41464418234341</v>
      </c>
      <c r="Q60"/>
      <c r="R60" s="89"/>
      <c r="S60" s="89"/>
      <c r="T60" s="19"/>
      <c r="U60" s="19"/>
      <c r="V60" s="19"/>
      <c r="W60" s="19"/>
      <c r="X60" s="278"/>
      <c r="Y60" s="88"/>
      <c r="Z60" s="88"/>
      <c r="AA60" s="89"/>
      <c r="AB60" s="89"/>
    </row>
    <row r="61" spans="1:28" x14ac:dyDescent="0.25">
      <c r="A61"/>
      <c r="B61" s="105" t="s">
        <v>161</v>
      </c>
      <c r="C61" s="130">
        <f t="shared" si="12"/>
        <v>190.94868473637214</v>
      </c>
      <c r="D61" s="50"/>
      <c r="E61" s="98"/>
      <c r="F61" s="140">
        <f t="shared" si="13"/>
        <v>190.38979168334211</v>
      </c>
      <c r="G61"/>
      <c r="H61" s="140">
        <f t="shared" si="14"/>
        <v>189.84488404558778</v>
      </c>
      <c r="I61" s="65"/>
      <c r="J61" s="140">
        <f>J159</f>
        <v>10.043776343810036</v>
      </c>
      <c r="K61"/>
      <c r="L61" s="132">
        <f t="shared" si="15"/>
        <v>1503.5533186683622</v>
      </c>
      <c r="M61" s="50"/>
      <c r="N61" s="132">
        <f>J201</f>
        <v>10.904822991499527</v>
      </c>
      <c r="O61" s="50"/>
      <c r="P61" s="132">
        <f t="shared" si="16"/>
        <v>1632.4520018274791</v>
      </c>
      <c r="Q61"/>
      <c r="R61" s="89"/>
      <c r="S61" s="89"/>
      <c r="T61" s="19"/>
      <c r="U61" s="19"/>
      <c r="V61" s="19"/>
      <c r="W61" s="19"/>
      <c r="X61" s="278"/>
      <c r="Y61" s="88"/>
      <c r="Z61" s="88"/>
      <c r="AA61" s="89"/>
      <c r="AB61" s="89"/>
    </row>
    <row r="62" spans="1:28" x14ac:dyDescent="0.25">
      <c r="A62"/>
      <c r="B62" s="105" t="s">
        <v>162</v>
      </c>
      <c r="C62" s="130">
        <f t="shared" si="12"/>
        <v>223.9804329524701</v>
      </c>
      <c r="D62" s="50"/>
      <c r="E62" s="98"/>
      <c r="F62" s="140">
        <f t="shared" si="13"/>
        <v>222.16767355252554</v>
      </c>
      <c r="G62"/>
      <c r="H62" s="140">
        <f t="shared" si="14"/>
        <v>220.38522514159112</v>
      </c>
      <c r="I62" s="65"/>
      <c r="J62" s="140">
        <f>K159</f>
        <v>19.861969925706454</v>
      </c>
      <c r="K62"/>
      <c r="L62" s="132">
        <f t="shared" si="15"/>
        <v>2973.336897878256</v>
      </c>
      <c r="M62" s="50"/>
      <c r="N62" s="132">
        <f>K201</f>
        <v>20.076494888460331</v>
      </c>
      <c r="O62" s="50"/>
      <c r="P62" s="132">
        <f t="shared" si="16"/>
        <v>3005.4512848025115</v>
      </c>
      <c r="Q62"/>
      <c r="R62" s="89"/>
      <c r="S62" s="89"/>
      <c r="T62" s="19"/>
      <c r="U62" s="19"/>
      <c r="V62" s="19"/>
      <c r="W62" s="19"/>
      <c r="X62" s="19"/>
      <c r="Y62" s="88"/>
      <c r="Z62" s="88"/>
      <c r="AA62" s="89"/>
      <c r="AB62" s="89"/>
    </row>
    <row r="63" spans="1:28" x14ac:dyDescent="0.25">
      <c r="A63"/>
      <c r="B63" s="105" t="s">
        <v>163</v>
      </c>
      <c r="C63" s="130">
        <f t="shared" si="12"/>
        <v>301.64904821752668</v>
      </c>
      <c r="D63" s="50"/>
      <c r="E63" s="98"/>
      <c r="F63" s="140">
        <f t="shared" si="13"/>
        <v>301.22815579247992</v>
      </c>
      <c r="G63"/>
      <c r="H63" s="140">
        <f t="shared" si="14"/>
        <v>300.80631795680267</v>
      </c>
      <c r="I63" s="65"/>
      <c r="J63" s="140">
        <f>L159</f>
        <v>29.934804300723556</v>
      </c>
      <c r="K63"/>
      <c r="L63" s="132">
        <f t="shared" si="15"/>
        <v>4481.2402038183163</v>
      </c>
      <c r="M63" s="50"/>
      <c r="N63" s="132">
        <f>L201</f>
        <v>30.764792021338319</v>
      </c>
      <c r="O63" s="50"/>
      <c r="P63" s="132">
        <f t="shared" si="16"/>
        <v>4605.4893655943461</v>
      </c>
      <c r="Q63"/>
      <c r="R63" s="89"/>
      <c r="S63" s="89"/>
      <c r="T63" s="19"/>
      <c r="U63" s="19"/>
      <c r="V63" s="19"/>
      <c r="W63" s="19"/>
      <c r="X63" s="19"/>
      <c r="Y63" s="88"/>
      <c r="Z63" s="88"/>
      <c r="AA63" s="89"/>
      <c r="AB63" s="89"/>
    </row>
    <row r="64" spans="1:28" x14ac:dyDescent="0.25">
      <c r="A64"/>
      <c r="B64" s="19"/>
      <c r="C64" s="38"/>
      <c r="D64" s="142"/>
      <c r="E64" s="19"/>
      <c r="F64" s="38"/>
      <c r="G64" s="38"/>
      <c r="H64" s="38"/>
      <c r="I64" s="19"/>
      <c r="J64"/>
      <c r="K64"/>
      <c r="L64"/>
      <c r="M64"/>
      <c r="N64"/>
      <c r="O64"/>
      <c r="P64"/>
      <c r="Q64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</row>
    <row r="65" spans="1:28" x14ac:dyDescent="0.25">
      <c r="A65" s="19"/>
      <c r="B65" s="19"/>
      <c r="C65" s="19"/>
      <c r="D65" s="142"/>
      <c r="E65" s="19"/>
      <c r="F65" s="38"/>
      <c r="G65" s="19"/>
      <c r="H65" s="38"/>
      <c r="I65" s="19"/>
      <c r="J65" s="19"/>
      <c r="K65"/>
      <c r="L65"/>
      <c r="M65"/>
      <c r="N65"/>
      <c r="O65"/>
      <c r="P65"/>
      <c r="Q65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</row>
    <row r="66" spans="1:28" x14ac:dyDescent="0.25">
      <c r="A66" s="89"/>
      <c r="B66" s="19"/>
      <c r="C66" s="133"/>
      <c r="D66" s="143"/>
      <c r="E66" s="93"/>
      <c r="F66" s="38"/>
      <c r="G66" s="151"/>
      <c r="H66" s="19"/>
      <c r="I66"/>
      <c r="J66"/>
      <c r="K66"/>
      <c r="L66"/>
      <c r="M66"/>
      <c r="N66"/>
      <c r="O66"/>
      <c r="P66"/>
      <c r="Q66"/>
      <c r="R66" s="19"/>
      <c r="S66" s="19"/>
      <c r="T66" s="19"/>
      <c r="U66" s="19"/>
      <c r="V66" s="19"/>
      <c r="W66" s="38"/>
      <c r="X66" s="19"/>
      <c r="Y66" s="19"/>
      <c r="Z66" s="19"/>
      <c r="AA66" s="19"/>
      <c r="AB66" s="19"/>
    </row>
    <row r="67" spans="1:28" x14ac:dyDescent="0.25">
      <c r="A67"/>
      <c r="B67" s="3" t="s">
        <v>184</v>
      </c>
      <c r="C67"/>
      <c r="D67" s="143"/>
      <c r="E67" s="38"/>
      <c r="F67" s="38"/>
      <c r="G67" s="144"/>
      <c r="H67"/>
      <c r="I67"/>
      <c r="J67"/>
      <c r="M67"/>
      <c r="N67"/>
      <c r="O67"/>
      <c r="P67"/>
      <c r="Q67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</row>
    <row r="68" spans="1:28" x14ac:dyDescent="0.25">
      <c r="A68"/>
      <c r="B68"/>
      <c r="C68"/>
      <c r="D68"/>
      <c r="E68"/>
      <c r="F68"/>
      <c r="G68"/>
      <c r="H68" s="38"/>
      <c r="I68" s="144"/>
      <c r="J68"/>
      <c r="M68"/>
      <c r="N68"/>
      <c r="O68"/>
      <c r="P68"/>
      <c r="Q68"/>
      <c r="R68" s="133"/>
      <c r="S68" s="19"/>
      <c r="T68" s="19"/>
      <c r="U68" s="19"/>
      <c r="V68" s="19"/>
      <c r="W68" s="19"/>
      <c r="X68" s="19"/>
      <c r="Y68" s="19"/>
      <c r="Z68" s="19"/>
      <c r="AA68" s="19"/>
      <c r="AB68" s="19"/>
    </row>
    <row r="69" spans="1:28" x14ac:dyDescent="0.25">
      <c r="A69"/>
      <c r="B69"/>
      <c r="C69" s="105" t="s">
        <v>185</v>
      </c>
      <c r="D69" s="105"/>
      <c r="E69"/>
      <c r="F69" s="146" t="s">
        <v>186</v>
      </c>
      <c r="G69" s="147"/>
      <c r="H69" s="38"/>
      <c r="I69" s="144"/>
      <c r="J69"/>
      <c r="K69" s="122" t="s">
        <v>187</v>
      </c>
      <c r="L69" s="122" t="s">
        <v>188</v>
      </c>
      <c r="M69" s="20"/>
      <c r="N69"/>
      <c r="O69" s="105" t="s">
        <v>189</v>
      </c>
      <c r="P69" s="105"/>
      <c r="Q69"/>
      <c r="R69" s="19"/>
      <c r="S69" s="77"/>
      <c r="T69" s="77"/>
      <c r="U69" s="19"/>
      <c r="V69" s="278"/>
      <c r="W69" s="19"/>
      <c r="X69" s="19"/>
      <c r="Y69" s="19"/>
      <c r="Z69" s="19"/>
      <c r="AA69" s="19"/>
      <c r="AB69" s="19"/>
    </row>
    <row r="70" spans="1:28" x14ac:dyDescent="0.25">
      <c r="A70"/>
      <c r="B70"/>
      <c r="C70" s="105"/>
      <c r="D70" s="105"/>
      <c r="E70"/>
      <c r="F70" s="148"/>
      <c r="G70" s="147"/>
      <c r="H70" s="38"/>
      <c r="I70" s="144"/>
      <c r="J70"/>
      <c r="K70" s="122" t="s">
        <v>190</v>
      </c>
      <c r="L70" s="122" t="s">
        <v>191</v>
      </c>
      <c r="M70" s="20"/>
      <c r="N70"/>
      <c r="O70" s="105" t="s">
        <v>192</v>
      </c>
      <c r="P70" s="125" t="s">
        <v>193</v>
      </c>
      <c r="Q70"/>
      <c r="R70" s="89"/>
      <c r="S70" s="281"/>
      <c r="T70" s="77"/>
      <c r="U70" s="19"/>
      <c r="V70" s="278"/>
      <c r="W70" s="19"/>
      <c r="X70" s="19"/>
      <c r="Y70" s="19"/>
      <c r="Z70" s="19"/>
      <c r="AA70" s="19"/>
      <c r="AB70" s="19"/>
    </row>
    <row r="71" spans="1:28" x14ac:dyDescent="0.25">
      <c r="A71"/>
      <c r="B71"/>
      <c r="C71" s="149" t="s">
        <v>49</v>
      </c>
      <c r="D71" s="149" t="s">
        <v>194</v>
      </c>
      <c r="E71"/>
      <c r="F71" s="150" t="s">
        <v>49</v>
      </c>
      <c r="G71" s="150" t="s">
        <v>50</v>
      </c>
      <c r="H71"/>
      <c r="I71"/>
      <c r="J71"/>
      <c r="K71" s="122"/>
      <c r="L71" s="122"/>
      <c r="M71" s="138"/>
      <c r="N71"/>
      <c r="O71" s="105"/>
      <c r="P71" s="105"/>
      <c r="Q71"/>
      <c r="R71" s="282"/>
      <c r="S71" s="89"/>
      <c r="T71" s="283"/>
      <c r="U71" s="284"/>
      <c r="V71" s="285"/>
      <c r="W71" s="19"/>
      <c r="X71" s="19"/>
      <c r="Y71" s="19"/>
      <c r="Z71" s="19"/>
      <c r="AA71" s="19"/>
      <c r="AB71" s="19"/>
    </row>
    <row r="72" spans="1:28" x14ac:dyDescent="0.25">
      <c r="A72"/>
      <c r="B72" s="19" t="str">
        <f>"Sonne"</f>
        <v>Sonne</v>
      </c>
      <c r="C72" s="140">
        <v>0</v>
      </c>
      <c r="D72" s="140">
        <v>0</v>
      </c>
      <c r="E72" s="98"/>
      <c r="F72" s="132">
        <f>C72-$C$75</f>
        <v>0.73894434302445666</v>
      </c>
      <c r="G72" s="132">
        <f>D72-$D$75</f>
        <v>0.65185951343803505</v>
      </c>
      <c r="H72" s="98"/>
      <c r="I72" s="19" t="str">
        <f>"Sonne"</f>
        <v>Sonne</v>
      </c>
      <c r="J72" t="s">
        <v>195</v>
      </c>
      <c r="K72" s="60">
        <f>Tabelle5!E53</f>
        <v>312.61292508490192</v>
      </c>
      <c r="L72" s="60">
        <v>0</v>
      </c>
      <c r="M72" s="20"/>
      <c r="N72" s="19" t="str">
        <f>"Sonne"</f>
        <v>Sonne</v>
      </c>
      <c r="O72" s="132">
        <f>Tabelle5!E78</f>
        <v>21.005177494436648</v>
      </c>
      <c r="P72" s="132">
        <f>Tabelle5!E81</f>
        <v>-17.023102993095385</v>
      </c>
      <c r="Q72"/>
      <c r="R72" s="282"/>
      <c r="S72" s="281"/>
      <c r="T72" s="77"/>
      <c r="U72" s="19"/>
      <c r="V72" s="278"/>
      <c r="W72" s="19"/>
      <c r="X72" s="19"/>
      <c r="Y72" s="19"/>
      <c r="Z72" s="19"/>
      <c r="AA72" s="19"/>
      <c r="AB72" s="19"/>
    </row>
    <row r="73" spans="1:28" x14ac:dyDescent="0.25">
      <c r="A73"/>
      <c r="B73" t="s">
        <v>156</v>
      </c>
      <c r="C73" s="132">
        <f>J56*SIN(RADIANS(F41))*-1</f>
        <v>0.13339713667066741</v>
      </c>
      <c r="D73" s="132">
        <f t="shared" ref="D73:D80" si="17">J56*SIN(RADIANS(90-F41))</f>
        <v>0.38901891454713555</v>
      </c>
      <c r="E73" s="98"/>
      <c r="F73" s="132">
        <f t="shared" ref="F73:F80" si="18">C73-$C$75</f>
        <v>0.8723414796951241</v>
      </c>
      <c r="G73" s="132">
        <f t="shared" ref="G73:G80" si="19">D73-$D$75</f>
        <v>1.0408784279851706</v>
      </c>
      <c r="H73" s="98"/>
      <c r="I73" t="s">
        <v>156</v>
      </c>
      <c r="J73" t="s">
        <v>196</v>
      </c>
      <c r="K73" s="60">
        <f>E184</f>
        <v>314.44119173823321</v>
      </c>
      <c r="L73" s="60">
        <f>E187</f>
        <v>-2.0632520694404519</v>
      </c>
      <c r="M73" s="20"/>
      <c r="N73" t="s">
        <v>156</v>
      </c>
      <c r="O73" s="132">
        <f>E204</f>
        <v>21.169269723892572</v>
      </c>
      <c r="P73" s="132">
        <f>E207</f>
        <v>-18.473326815875708</v>
      </c>
      <c r="Q73"/>
      <c r="R73" s="89"/>
      <c r="S73" s="281"/>
      <c r="T73" s="77"/>
      <c r="U73" s="19"/>
      <c r="V73" s="278"/>
      <c r="W73" s="19"/>
      <c r="X73" s="19"/>
      <c r="Y73" s="19"/>
      <c r="Z73" s="19"/>
      <c r="AA73" s="19"/>
      <c r="AB73" s="19"/>
    </row>
    <row r="74" spans="1:28" x14ac:dyDescent="0.25">
      <c r="A74"/>
      <c r="B74" t="s">
        <v>157</v>
      </c>
      <c r="C74" s="132">
        <f t="shared" ref="C74:C80" si="20">(J57*SIN(RADIANS(F42))*-1)</f>
        <v>0.13597775675129911</v>
      </c>
      <c r="D74" s="132">
        <f t="shared" si="17"/>
        <v>-0.70792127870345101</v>
      </c>
      <c r="E74" s="98"/>
      <c r="F74" s="132">
        <f t="shared" si="18"/>
        <v>0.87492209977575575</v>
      </c>
      <c r="G74" s="132">
        <f t="shared" si="19"/>
        <v>-5.6061765265415953E-2</v>
      </c>
      <c r="H74" s="98"/>
      <c r="I74" t="s">
        <v>157</v>
      </c>
      <c r="J74" t="s">
        <v>196</v>
      </c>
      <c r="K74" s="60">
        <f>F184</f>
        <v>267.49635314609088</v>
      </c>
      <c r="L74" s="60">
        <f>F187</f>
        <v>2.5462033044492784</v>
      </c>
      <c r="M74" s="20"/>
      <c r="N74" t="s">
        <v>157</v>
      </c>
      <c r="O74" s="132">
        <f>F204</f>
        <v>17.821537408624764</v>
      </c>
      <c r="P74" s="132">
        <f>F207</f>
        <v>-20.871133662144004</v>
      </c>
      <c r="Q74"/>
      <c r="R74" s="274"/>
      <c r="S74" s="281"/>
      <c r="T74" s="77"/>
      <c r="U74" s="19"/>
      <c r="V74" s="278"/>
      <c r="W74" s="19"/>
      <c r="X74" s="19"/>
      <c r="Y74" s="19"/>
      <c r="Z74" s="19"/>
      <c r="AA74" s="19"/>
    </row>
    <row r="75" spans="1:28" x14ac:dyDescent="0.25">
      <c r="A75"/>
      <c r="B75" t="s">
        <v>158</v>
      </c>
      <c r="C75" s="132">
        <f t="shared" si="20"/>
        <v>-0.73894434302445666</v>
      </c>
      <c r="D75" s="132">
        <f t="shared" si="17"/>
        <v>-0.65185951343803505</v>
      </c>
      <c r="E75" s="98"/>
      <c r="F75" s="132">
        <f t="shared" si="18"/>
        <v>0</v>
      </c>
      <c r="G75" s="132">
        <f t="shared" si="19"/>
        <v>0</v>
      </c>
      <c r="H75" s="98"/>
      <c r="I75" t="s">
        <v>158</v>
      </c>
      <c r="J75" t="s">
        <v>196</v>
      </c>
      <c r="K75" s="60">
        <v>0</v>
      </c>
      <c r="L75" s="60">
        <v>0</v>
      </c>
      <c r="M75" s="20"/>
      <c r="N75" t="s">
        <v>158</v>
      </c>
      <c r="O75" s="132">
        <v>0</v>
      </c>
      <c r="P75" s="132">
        <v>0</v>
      </c>
      <c r="Q75"/>
      <c r="R75" s="282"/>
      <c r="S75" s="281"/>
      <c r="T75" s="77"/>
      <c r="U75" s="19"/>
      <c r="V75" s="278"/>
      <c r="W75" s="19"/>
      <c r="X75" s="19"/>
      <c r="Y75" s="19"/>
      <c r="Z75" s="19"/>
      <c r="AA75" s="19"/>
    </row>
    <row r="76" spans="1:28" x14ac:dyDescent="0.25">
      <c r="A76"/>
      <c r="B76" t="s">
        <v>159</v>
      </c>
      <c r="C76" s="132">
        <f t="shared" si="20"/>
        <v>-1.1207794228737271</v>
      </c>
      <c r="D76" s="132">
        <f t="shared" si="17"/>
        <v>0.98698524165231261</v>
      </c>
      <c r="E76" s="98"/>
      <c r="F76" s="132">
        <f t="shared" si="18"/>
        <v>-0.38183507984927045</v>
      </c>
      <c r="G76" s="132">
        <f t="shared" si="19"/>
        <v>1.6388447550903478</v>
      </c>
      <c r="H76" s="98"/>
      <c r="I76" t="s">
        <v>159</v>
      </c>
      <c r="J76" t="s">
        <v>196</v>
      </c>
      <c r="K76" s="60">
        <f>H184</f>
        <v>21.237738995448233</v>
      </c>
      <c r="L76" s="60">
        <f>H187</f>
        <v>0.30042787375947455</v>
      </c>
      <c r="M76" s="20"/>
      <c r="N76" t="s">
        <v>159</v>
      </c>
      <c r="O76" s="132">
        <f>H204</f>
        <v>1.3006900100553842</v>
      </c>
      <c r="P76" s="132">
        <f>H207</f>
        <v>8.5635649846822162</v>
      </c>
      <c r="Q76"/>
      <c r="R76" s="282"/>
      <c r="S76" s="281"/>
      <c r="T76" s="77"/>
      <c r="U76" s="19"/>
      <c r="V76" s="278"/>
      <c r="W76" s="19"/>
      <c r="X76" s="19"/>
      <c r="Y76" s="19"/>
      <c r="Z76" s="19"/>
      <c r="AA76" s="19"/>
    </row>
    <row r="77" spans="1:28" x14ac:dyDescent="0.25">
      <c r="A77"/>
      <c r="B77" t="s">
        <v>160</v>
      </c>
      <c r="C77" s="132">
        <f t="shared" si="20"/>
        <v>5.1256374086431453</v>
      </c>
      <c r="D77" s="132">
        <f t="shared" si="17"/>
        <v>-1.5061170020942223</v>
      </c>
      <c r="E77" s="98"/>
      <c r="F77" s="132">
        <f t="shared" si="18"/>
        <v>5.8645817516676022</v>
      </c>
      <c r="G77" s="132">
        <f t="shared" si="19"/>
        <v>-0.85425748865618722</v>
      </c>
      <c r="H77" s="98"/>
      <c r="I77" t="s">
        <v>160</v>
      </c>
      <c r="J77" t="s">
        <v>196</v>
      </c>
      <c r="K77" s="60">
        <f>I184</f>
        <v>257.71791700367396</v>
      </c>
      <c r="L77" s="60">
        <f>I187</f>
        <v>0.62449593252759428</v>
      </c>
      <c r="M77" s="20"/>
      <c r="N77" t="s">
        <v>160</v>
      </c>
      <c r="O77" s="132">
        <f>I204</f>
        <v>17.114207274684741</v>
      </c>
      <c r="P77" s="132">
        <f>I207</f>
        <v>-22.251352982002217</v>
      </c>
      <c r="Q77"/>
      <c r="R77" s="89"/>
      <c r="S77" s="281"/>
      <c r="T77" s="77"/>
      <c r="U77" s="19"/>
      <c r="V77" s="278"/>
      <c r="W77" s="19"/>
      <c r="X77" s="19"/>
      <c r="Y77" s="19"/>
      <c r="Z77" s="19"/>
      <c r="AA77" s="19"/>
    </row>
    <row r="78" spans="1:28" x14ac:dyDescent="0.25">
      <c r="A78"/>
      <c r="B78" t="s">
        <v>161</v>
      </c>
      <c r="C78" s="132">
        <f t="shared" si="20"/>
        <v>9.7753056213882523</v>
      </c>
      <c r="D78" s="132">
        <f t="shared" si="17"/>
        <v>2.306695309947393</v>
      </c>
      <c r="E78" s="98"/>
      <c r="F78" s="132">
        <f t="shared" si="18"/>
        <v>10.514249964412709</v>
      </c>
      <c r="G78" s="132">
        <f t="shared" si="19"/>
        <v>2.9585548233854282</v>
      </c>
      <c r="H78" s="98"/>
      <c r="I78" t="s">
        <v>161</v>
      </c>
      <c r="J78" t="s">
        <v>196</v>
      </c>
      <c r="K78" s="60">
        <f>J184</f>
        <v>284.80733118241073</v>
      </c>
      <c r="L78" s="60">
        <f>J187</f>
        <v>0.45444896114007349</v>
      </c>
      <c r="M78" s="20"/>
      <c r="N78" t="s">
        <v>161</v>
      </c>
      <c r="O78" s="132">
        <f>J204</f>
        <v>19.067936582029901</v>
      </c>
      <c r="P78" s="132">
        <f>J207</f>
        <v>-22.166441804456056</v>
      </c>
      <c r="Q78"/>
      <c r="R78" s="89"/>
      <c r="S78" s="281"/>
      <c r="T78" s="77"/>
      <c r="U78" s="19"/>
      <c r="V78" s="278"/>
      <c r="W78" s="19"/>
      <c r="X78" s="19"/>
      <c r="Y78" s="19"/>
      <c r="Z78" s="19"/>
      <c r="AA78" s="19"/>
    </row>
    <row r="79" spans="1:28" x14ac:dyDescent="0.25">
      <c r="A79"/>
      <c r="B79" t="s">
        <v>162</v>
      </c>
      <c r="C79" s="132">
        <f t="shared" si="20"/>
        <v>-11.396407379252631</v>
      </c>
      <c r="D79" s="132">
        <f t="shared" si="17"/>
        <v>16.26713706144335</v>
      </c>
      <c r="E79" s="98"/>
      <c r="F79" s="132">
        <f t="shared" si="18"/>
        <v>-10.657463036228174</v>
      </c>
      <c r="G79" s="132">
        <f t="shared" si="19"/>
        <v>16.918996574881383</v>
      </c>
      <c r="H79" s="98"/>
      <c r="I79" t="s">
        <v>162</v>
      </c>
      <c r="J79" t="s">
        <v>196</v>
      </c>
      <c r="K79" s="60">
        <f>K184</f>
        <v>28.661691854825616</v>
      </c>
      <c r="L79" s="60">
        <f>K187</f>
        <v>-0.51663910815493352</v>
      </c>
      <c r="M79" s="20"/>
      <c r="N79" t="s">
        <v>162</v>
      </c>
      <c r="O79" s="132">
        <f>K204</f>
        <v>1.7880553557745276</v>
      </c>
      <c r="P79" s="132">
        <f>K207</f>
        <v>10.516467557024868</v>
      </c>
      <c r="Q79"/>
      <c r="R79" s="89"/>
      <c r="S79" s="281"/>
      <c r="T79" s="77"/>
      <c r="U79" s="19"/>
      <c r="V79" s="19"/>
      <c r="W79" s="19"/>
      <c r="X79" s="19"/>
      <c r="Y79" s="19"/>
      <c r="Z79" s="19"/>
      <c r="AA79" s="19"/>
    </row>
    <row r="80" spans="1:28" x14ac:dyDescent="0.25">
      <c r="A80"/>
      <c r="B80" t="s">
        <v>163</v>
      </c>
      <c r="C80" s="132">
        <f t="shared" si="20"/>
        <v>6.9497139558205978</v>
      </c>
      <c r="D80" s="132">
        <f t="shared" si="17"/>
        <v>29.116902040823128</v>
      </c>
      <c r="E80" s="98"/>
      <c r="F80" s="132">
        <f t="shared" si="18"/>
        <v>7.6886582988450547</v>
      </c>
      <c r="G80" s="132">
        <f t="shared" si="19"/>
        <v>29.768761554261161</v>
      </c>
      <c r="H80" s="98"/>
      <c r="I80" t="s">
        <v>163</v>
      </c>
      <c r="J80" t="s">
        <v>196</v>
      </c>
      <c r="K80" s="60">
        <f>L184</f>
        <v>344.71766903000321</v>
      </c>
      <c r="L80" s="60">
        <f>L187</f>
        <v>-0.9628834434071365</v>
      </c>
      <c r="M80" s="20"/>
      <c r="N80" t="s">
        <v>163</v>
      </c>
      <c r="O80" s="132">
        <f>L204</f>
        <v>23.086726181797758</v>
      </c>
      <c r="P80" s="132">
        <f>L207</f>
        <v>-6.9066994644572048</v>
      </c>
      <c r="Q80"/>
      <c r="R80" s="89"/>
      <c r="S80" s="281"/>
      <c r="T80" s="77"/>
      <c r="U80" s="19"/>
      <c r="V80" s="19"/>
      <c r="W80" s="19"/>
      <c r="X80" s="19"/>
      <c r="Y80" s="19"/>
      <c r="Z80" s="19"/>
      <c r="AA80" s="19"/>
    </row>
    <row r="81" spans="1:28" x14ac:dyDescent="0.25">
      <c r="A81"/>
      <c r="B81" s="19"/>
      <c r="C81" s="38"/>
      <c r="D81" s="151"/>
      <c r="E81" s="19"/>
      <c r="F81" s="38"/>
      <c r="G81" s="38"/>
      <c r="H81"/>
      <c r="I81" t="s">
        <v>56</v>
      </c>
      <c r="J81" t="s">
        <v>198</v>
      </c>
      <c r="K81" s="245">
        <f>'Sonne Mond'!C49</f>
        <v>278.45740589802284</v>
      </c>
      <c r="L81" s="245">
        <f>'Sonne Mond'!C61</f>
        <v>1.6653901058017893</v>
      </c>
      <c r="M81" s="20"/>
      <c r="N81" t="s">
        <v>56</v>
      </c>
      <c r="O81" s="245">
        <f>'Sonne Mond'!C73</f>
        <v>279.09171340240005</v>
      </c>
      <c r="P81" s="245">
        <f>'Sonne Mond'!C76</f>
        <v>-21.508078844597033</v>
      </c>
      <c r="Q81"/>
      <c r="R81" s="89"/>
      <c r="S81" s="281"/>
      <c r="T81" s="77"/>
      <c r="U81" s="19"/>
      <c r="V81" s="278"/>
      <c r="W81" s="19"/>
      <c r="X81" s="19"/>
      <c r="Y81" s="19"/>
      <c r="Z81" s="19"/>
      <c r="AA81" s="19"/>
    </row>
    <row r="82" spans="1:28" x14ac:dyDescent="0.25">
      <c r="A82"/>
      <c r="B82"/>
      <c r="C82" s="38"/>
      <c r="D82" s="151"/>
      <c r="E82" s="19"/>
      <c r="F82" s="38"/>
      <c r="G82" s="38"/>
      <c r="H82"/>
      <c r="I82"/>
      <c r="J82" s="143"/>
      <c r="K82" s="19"/>
      <c r="L82" s="38"/>
      <c r="M82" s="144"/>
      <c r="N82"/>
      <c r="O82"/>
      <c r="P82"/>
      <c r="Q82"/>
      <c r="R82" s="89"/>
      <c r="S82" s="89"/>
      <c r="T82" s="19"/>
      <c r="U82" s="19"/>
      <c r="V82" s="19"/>
      <c r="W82" s="19"/>
      <c r="X82" s="19"/>
      <c r="Y82" s="19"/>
      <c r="Z82" s="19"/>
      <c r="AA82" s="19"/>
    </row>
    <row r="83" spans="1:28" x14ac:dyDescent="0.25">
      <c r="A83"/>
      <c r="B83" s="19" t="s">
        <v>199</v>
      </c>
      <c r="C83" s="38"/>
      <c r="D83" s="151"/>
      <c r="E83" s="19"/>
      <c r="F83" s="38"/>
      <c r="G83" s="38"/>
      <c r="H83"/>
      <c r="I83"/>
      <c r="J83"/>
      <c r="K83"/>
      <c r="L83"/>
      <c r="M83"/>
      <c r="N83"/>
      <c r="O83"/>
      <c r="P83"/>
      <c r="Q83"/>
      <c r="R83" s="89"/>
      <c r="S83" s="89"/>
      <c r="T83" s="19"/>
      <c r="U83" s="19"/>
      <c r="V83" s="19"/>
      <c r="W83" s="19"/>
      <c r="X83" s="38"/>
      <c r="Y83" s="19"/>
      <c r="Z83" s="19"/>
      <c r="AA83" s="19"/>
    </row>
    <row r="84" spans="1:28" x14ac:dyDescent="0.25">
      <c r="A84"/>
      <c r="B84" s="19"/>
      <c r="C84" s="38"/>
      <c r="D84" s="151"/>
      <c r="E84" s="19"/>
      <c r="F84" s="38"/>
      <c r="G84" s="38"/>
      <c r="H84"/>
      <c r="I84" s="28"/>
      <c r="J84"/>
      <c r="K84"/>
      <c r="L84" s="105" t="s">
        <v>78</v>
      </c>
      <c r="M84"/>
      <c r="N84"/>
      <c r="O84"/>
      <c r="P84" s="28"/>
      <c r="Q84"/>
      <c r="R84" s="89"/>
      <c r="S84" s="89"/>
      <c r="T84" s="19"/>
      <c r="U84" s="19"/>
      <c r="V84" s="19"/>
      <c r="W84" s="19"/>
      <c r="X84" s="19"/>
      <c r="Y84" s="19"/>
      <c r="Z84" s="19"/>
      <c r="AA84" s="19"/>
    </row>
    <row r="85" spans="1:28" x14ac:dyDescent="0.25">
      <c r="A85"/>
      <c r="B85" s="19" t="s">
        <v>200</v>
      </c>
      <c r="C85" s="38"/>
      <c r="D85" s="151"/>
      <c r="E85" s="19"/>
      <c r="F85" s="38"/>
      <c r="G85" s="38"/>
      <c r="H85"/>
      <c r="I85"/>
      <c r="J85"/>
      <c r="K85"/>
      <c r="L85" s="152" t="s">
        <v>201</v>
      </c>
      <c r="M85"/>
      <c r="N85"/>
      <c r="O85"/>
      <c r="P85"/>
      <c r="Q85" s="153"/>
      <c r="R85" s="274"/>
      <c r="S85" s="286"/>
      <c r="T85" s="287"/>
      <c r="U85" s="288"/>
      <c r="V85" s="289"/>
      <c r="W85" s="19"/>
      <c r="X85" s="77"/>
      <c r="Y85" s="19"/>
      <c r="Z85" s="19"/>
      <c r="AA85" s="19"/>
    </row>
    <row r="86" spans="1:28" x14ac:dyDescent="0.25">
      <c r="A86"/>
      <c r="B86" s="19"/>
      <c r="C86" s="38"/>
      <c r="D86" s="151"/>
      <c r="E86" s="19"/>
      <c r="F86" s="38"/>
      <c r="G86" s="38"/>
      <c r="H86"/>
      <c r="I86" t="s">
        <v>156</v>
      </c>
      <c r="J86" s="58">
        <f t="shared" ref="J86:J94" si="21">K73-$K$72</f>
        <v>1.8282666533312977</v>
      </c>
      <c r="K86" s="59">
        <f>IF(J86&lt;0,J86+360,J86)</f>
        <v>1.8282666533312977</v>
      </c>
      <c r="L86" s="60">
        <f>IF(K86&gt;180,K86-360,K86)</f>
        <v>1.8282666533312977</v>
      </c>
      <c r="M86"/>
      <c r="N86" s="13"/>
      <c r="O86" s="154"/>
      <c r="P86" s="13"/>
      <c r="Q86" s="155"/>
      <c r="R86" s="290"/>
      <c r="S86" s="290"/>
      <c r="T86" s="291"/>
      <c r="U86" s="288"/>
      <c r="V86" s="289"/>
      <c r="W86" s="19"/>
      <c r="X86" s="77"/>
      <c r="Y86" s="19"/>
      <c r="Z86" s="19"/>
      <c r="AA86" s="19"/>
    </row>
    <row r="87" spans="1:28" x14ac:dyDescent="0.25">
      <c r="A87"/>
      <c r="B87" s="19"/>
      <c r="C87" s="38"/>
      <c r="D87" s="151"/>
      <c r="E87" s="19"/>
      <c r="F87" s="38"/>
      <c r="G87" s="38"/>
      <c r="H87"/>
      <c r="I87" t="s">
        <v>157</v>
      </c>
      <c r="J87" s="58">
        <f t="shared" si="21"/>
        <v>-45.116571938811035</v>
      </c>
      <c r="K87" s="59">
        <f>IF(J87&lt;0,J87+360,J87)</f>
        <v>314.88342806118897</v>
      </c>
      <c r="L87" s="60">
        <f t="shared" ref="L87:L94" si="22">IF(K87&gt;180,K87-360,K87)</f>
        <v>-45.116571938811035</v>
      </c>
      <c r="M87"/>
      <c r="N87" s="13"/>
      <c r="O87" s="154"/>
      <c r="P87" s="13"/>
      <c r="Q87" s="155"/>
      <c r="R87" s="291"/>
      <c r="S87" s="291"/>
      <c r="T87" s="291"/>
      <c r="U87" s="292"/>
      <c r="V87" s="93"/>
      <c r="W87" s="93"/>
      <c r="X87" s="77"/>
      <c r="Y87" s="19"/>
      <c r="Z87" s="19"/>
      <c r="AA87" s="19"/>
    </row>
    <row r="88" spans="1:28" x14ac:dyDescent="0.25">
      <c r="A88"/>
      <c r="B88" s="19"/>
      <c r="C88" s="38"/>
      <c r="D88" s="151"/>
      <c r="E88" s="19"/>
      <c r="F88" s="38"/>
      <c r="G88" s="38"/>
      <c r="H88"/>
      <c r="I88" t="s">
        <v>158</v>
      </c>
      <c r="J88" s="58">
        <f t="shared" si="21"/>
        <v>-312.61292508490192</v>
      </c>
      <c r="K88" s="59">
        <f t="shared" ref="K88:K94" si="23">IF(J88&lt;0,J88+360,J88)</f>
        <v>47.387074915098083</v>
      </c>
      <c r="L88" s="60">
        <f t="shared" si="22"/>
        <v>47.387074915098083</v>
      </c>
      <c r="M88"/>
      <c r="N88" s="13"/>
      <c r="O88" s="154"/>
      <c r="P88" s="13"/>
      <c r="Q88" s="155"/>
      <c r="R88" s="155"/>
      <c r="S88" s="155"/>
      <c r="T88" s="155"/>
      <c r="U88" s="155"/>
    </row>
    <row r="89" spans="1:28" x14ac:dyDescent="0.25">
      <c r="A89"/>
      <c r="B89" s="19"/>
      <c r="C89" s="19"/>
      <c r="D89" s="19"/>
      <c r="E89" s="19"/>
      <c r="F89" s="19"/>
      <c r="G89" s="19"/>
      <c r="H89"/>
      <c r="I89" t="s">
        <v>159</v>
      </c>
      <c r="J89" s="58">
        <f t="shared" si="21"/>
        <v>-291.37518608945368</v>
      </c>
      <c r="K89" s="59">
        <f t="shared" si="23"/>
        <v>68.624813910546322</v>
      </c>
      <c r="L89" s="60">
        <f t="shared" si="22"/>
        <v>68.624813910546322</v>
      </c>
      <c r="M89"/>
      <c r="N89" s="13"/>
      <c r="O89" s="154"/>
      <c r="P89" s="13"/>
      <c r="Q89" s="155"/>
      <c r="R89" s="155"/>
      <c r="S89" s="155"/>
      <c r="T89" s="155"/>
      <c r="X89" s="20"/>
    </row>
    <row r="90" spans="1:28" x14ac:dyDescent="0.25">
      <c r="A90"/>
      <c r="B90"/>
      <c r="C90"/>
      <c r="D90"/>
      <c r="E90"/>
      <c r="F90"/>
      <c r="G90"/>
      <c r="H90"/>
      <c r="I90" t="s">
        <v>160</v>
      </c>
      <c r="J90" s="58">
        <f t="shared" si="21"/>
        <v>-54.895008081227957</v>
      </c>
      <c r="K90" s="59">
        <f t="shared" si="23"/>
        <v>305.10499191877204</v>
      </c>
      <c r="L90" s="60">
        <f t="shared" si="22"/>
        <v>-54.895008081227957</v>
      </c>
      <c r="M90"/>
      <c r="N90" s="13"/>
      <c r="O90" s="154"/>
      <c r="P90" s="13"/>
      <c r="Q90" s="155"/>
      <c r="R90" s="155"/>
      <c r="S90" s="155"/>
      <c r="T90" s="155"/>
      <c r="U90" s="155"/>
      <c r="X90" s="91"/>
      <c r="Y90" s="92"/>
      <c r="Z90" s="92"/>
      <c r="AA90" s="92"/>
      <c r="AB90" s="92"/>
    </row>
    <row r="91" spans="1:28" x14ac:dyDescent="0.25">
      <c r="A91"/>
      <c r="B91"/>
      <c r="C91"/>
      <c r="D91"/>
      <c r="E91"/>
      <c r="F91"/>
      <c r="G91"/>
      <c r="H91"/>
      <c r="I91" t="s">
        <v>161</v>
      </c>
      <c r="J91" s="58">
        <f t="shared" si="21"/>
        <v>-27.805593902491182</v>
      </c>
      <c r="K91" s="59">
        <f t="shared" si="23"/>
        <v>332.19440609750882</v>
      </c>
      <c r="L91" s="60">
        <f t="shared" si="22"/>
        <v>-27.805593902491182</v>
      </c>
      <c r="M91"/>
      <c r="N91" s="13"/>
      <c r="O91" s="154"/>
      <c r="P91" s="13"/>
      <c r="Q91" s="155"/>
      <c r="R91" s="155"/>
      <c r="S91" s="155"/>
      <c r="T91" s="155"/>
      <c r="U91" s="155"/>
      <c r="X91" s="20"/>
    </row>
    <row r="92" spans="1:28" x14ac:dyDescent="0.25">
      <c r="A92"/>
      <c r="B92"/>
      <c r="C92"/>
      <c r="D92"/>
      <c r="E92"/>
      <c r="F92"/>
      <c r="G92"/>
      <c r="H92"/>
      <c r="I92" t="s">
        <v>162</v>
      </c>
      <c r="J92" s="58">
        <f t="shared" si="21"/>
        <v>-283.9512332300763</v>
      </c>
      <c r="K92" s="59">
        <f t="shared" si="23"/>
        <v>76.048766769923702</v>
      </c>
      <c r="L92" s="60">
        <f t="shared" si="22"/>
        <v>76.048766769923702</v>
      </c>
      <c r="M92"/>
      <c r="N92" s="13"/>
      <c r="O92" s="154"/>
      <c r="P92" s="13"/>
      <c r="Q92" s="155"/>
      <c r="R92" s="155"/>
      <c r="S92" s="155"/>
      <c r="T92" s="155"/>
      <c r="U92" s="155"/>
    </row>
    <row r="93" spans="1:28" x14ac:dyDescent="0.25">
      <c r="A93"/>
      <c r="B93"/>
      <c r="C93"/>
      <c r="D93"/>
      <c r="E93"/>
      <c r="F93"/>
      <c r="G93"/>
      <c r="H93"/>
      <c r="I93" t="s">
        <v>163</v>
      </c>
      <c r="J93" s="58">
        <f t="shared" si="21"/>
        <v>32.104743945101291</v>
      </c>
      <c r="K93" s="59">
        <f t="shared" si="23"/>
        <v>32.104743945101291</v>
      </c>
      <c r="L93" s="60">
        <f t="shared" si="22"/>
        <v>32.104743945101291</v>
      </c>
      <c r="M93"/>
      <c r="N93" s="13"/>
      <c r="O93" s="154"/>
      <c r="P93" s="13"/>
      <c r="Q93" s="155"/>
      <c r="R93" s="155"/>
      <c r="S93" s="155"/>
      <c r="T93" s="155"/>
      <c r="U93" s="155"/>
      <c r="X93" s="20"/>
    </row>
    <row r="94" spans="1:28" x14ac:dyDescent="0.25">
      <c r="A94"/>
      <c r="B94"/>
      <c r="C94"/>
      <c r="D94"/>
      <c r="E94"/>
      <c r="F94"/>
      <c r="G94"/>
      <c r="H94"/>
      <c r="I94" t="s">
        <v>56</v>
      </c>
      <c r="J94" s="58">
        <f t="shared" si="21"/>
        <v>-34.155519186879076</v>
      </c>
      <c r="K94" s="59">
        <f t="shared" si="23"/>
        <v>325.84448081312092</v>
      </c>
      <c r="L94" s="60">
        <f t="shared" si="22"/>
        <v>-34.155519186879076</v>
      </c>
      <c r="M94"/>
      <c r="N94" s="13"/>
      <c r="O94" s="154"/>
      <c r="P94" s="13"/>
      <c r="Q94" s="155"/>
      <c r="R94" s="155"/>
      <c r="S94" s="155"/>
      <c r="T94" s="155"/>
      <c r="U94" s="155"/>
      <c r="X94" s="20"/>
    </row>
    <row r="95" spans="1:28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X95" s="20"/>
    </row>
    <row r="96" spans="1:28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X96" s="20"/>
    </row>
    <row r="97" spans="1:28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X97" s="20"/>
    </row>
    <row r="98" spans="1:28" x14ac:dyDescent="0.25">
      <c r="A98"/>
      <c r="B98"/>
      <c r="C98"/>
      <c r="D98"/>
      <c r="E98"/>
      <c r="F98"/>
      <c r="G98"/>
      <c r="H98"/>
      <c r="I98"/>
      <c r="J98"/>
      <c r="K98" s="135"/>
      <c r="L98"/>
      <c r="M98"/>
      <c r="N98"/>
      <c r="O98"/>
      <c r="P98"/>
      <c r="Q98"/>
      <c r="R98"/>
    </row>
    <row r="99" spans="1:28" x14ac:dyDescent="0.25">
      <c r="A99"/>
      <c r="B99"/>
      <c r="C99"/>
      <c r="D99"/>
      <c r="E99"/>
      <c r="F99"/>
      <c r="G99"/>
      <c r="H99"/>
      <c r="I99" s="28"/>
      <c r="J99"/>
      <c r="K99"/>
      <c r="L99" s="156"/>
      <c r="M99"/>
      <c r="N99"/>
      <c r="O99"/>
      <c r="P99"/>
      <c r="Q99"/>
      <c r="R99"/>
    </row>
    <row r="100" spans="1:28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</row>
    <row r="101" spans="1:28" ht="21" x14ac:dyDescent="0.35">
      <c r="A101" s="94" t="s">
        <v>202</v>
      </c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28" x14ac:dyDescent="0.25">
      <c r="A102"/>
      <c r="B102" s="19"/>
      <c r="C102" s="78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28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28" x14ac:dyDescent="0.25">
      <c r="A104"/>
      <c r="B104" t="s">
        <v>109</v>
      </c>
      <c r="C104" s="159">
        <f>C4</f>
        <v>43497.775694444441</v>
      </c>
      <c r="D104"/>
      <c r="E104" s="28"/>
      <c r="F104"/>
      <c r="G104"/>
      <c r="H104"/>
      <c r="I104"/>
      <c r="J104"/>
      <c r="K104"/>
      <c r="L104"/>
      <c r="M104"/>
      <c r="N104"/>
      <c r="O104"/>
      <c r="P104"/>
      <c r="Q104"/>
      <c r="R104"/>
      <c r="T104" s="19"/>
      <c r="U104" s="19"/>
      <c r="V104" s="19"/>
      <c r="W104" s="19"/>
      <c r="X104" s="19"/>
      <c r="Y104" s="19"/>
      <c r="Z104" s="19"/>
      <c r="AA104" s="19"/>
      <c r="AB104" s="19"/>
    </row>
    <row r="105" spans="1:28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T105" s="19"/>
      <c r="U105" s="19"/>
      <c r="V105" s="19"/>
      <c r="W105" s="19"/>
      <c r="X105" s="19"/>
      <c r="Y105" s="19"/>
      <c r="Z105" s="19"/>
      <c r="AA105" s="19"/>
      <c r="AB105" s="19"/>
    </row>
    <row r="106" spans="1:28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T106" s="19"/>
      <c r="U106" s="19"/>
      <c r="V106" s="19"/>
      <c r="W106" s="19"/>
      <c r="X106" s="19"/>
      <c r="Y106" s="19"/>
      <c r="Z106" s="19"/>
      <c r="AA106" s="19"/>
      <c r="AB106" s="19"/>
    </row>
    <row r="107" spans="1:28" x14ac:dyDescent="0.25">
      <c r="A107"/>
      <c r="B107"/>
      <c r="C107"/>
      <c r="D107"/>
      <c r="E107" s="28"/>
      <c r="F107"/>
      <c r="G107"/>
      <c r="H107"/>
      <c r="I107"/>
      <c r="J107"/>
      <c r="K107"/>
      <c r="L107"/>
      <c r="M107"/>
      <c r="N107"/>
      <c r="O107"/>
      <c r="P107"/>
      <c r="Q107"/>
      <c r="R107"/>
      <c r="T107" s="19"/>
      <c r="U107" s="19"/>
      <c r="V107" s="19"/>
      <c r="W107" s="19"/>
      <c r="X107" s="19"/>
      <c r="Y107" s="19"/>
      <c r="Z107" s="19"/>
      <c r="AA107" s="19"/>
      <c r="AB107" s="19"/>
    </row>
    <row r="108" spans="1:28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28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28" ht="22.5" x14ac:dyDescent="0.25">
      <c r="A110"/>
      <c r="B110"/>
      <c r="C110"/>
      <c r="D110"/>
      <c r="E110"/>
      <c r="F110"/>
      <c r="G110"/>
      <c r="H110"/>
      <c r="I110"/>
      <c r="J110"/>
      <c r="K110"/>
      <c r="L110" s="160"/>
      <c r="M110"/>
      <c r="N110"/>
      <c r="O110"/>
      <c r="P110"/>
      <c r="Q110"/>
      <c r="R110"/>
    </row>
    <row r="111" spans="1:28" ht="15.75" x14ac:dyDescent="0.25">
      <c r="A111"/>
      <c r="B111"/>
      <c r="C111"/>
      <c r="D111"/>
      <c r="E111" s="3" t="s">
        <v>156</v>
      </c>
      <c r="F111" s="3" t="s">
        <v>157</v>
      </c>
      <c r="G111" s="3" t="s">
        <v>158</v>
      </c>
      <c r="H111" s="3" t="s">
        <v>159</v>
      </c>
      <c r="I111" s="3" t="s">
        <v>160</v>
      </c>
      <c r="J111" s="3" t="s">
        <v>161</v>
      </c>
      <c r="K111" s="3" t="s">
        <v>162</v>
      </c>
      <c r="L111" s="161" t="s">
        <v>163</v>
      </c>
      <c r="M111" s="3"/>
      <c r="N111"/>
      <c r="O111"/>
      <c r="P111"/>
      <c r="Q111"/>
      <c r="R111"/>
    </row>
    <row r="112" spans="1:28" x14ac:dyDescent="0.25">
      <c r="A112"/>
      <c r="B112"/>
      <c r="C112"/>
      <c r="D112"/>
      <c r="E112"/>
      <c r="F112"/>
      <c r="G112"/>
      <c r="H112"/>
      <c r="I112"/>
      <c r="J112"/>
      <c r="K112"/>
      <c r="L112" s="162"/>
      <c r="M112"/>
      <c r="N112"/>
      <c r="O112"/>
      <c r="P112"/>
      <c r="Q112"/>
      <c r="R112"/>
    </row>
    <row r="113" spans="1:18" ht="15.75" x14ac:dyDescent="0.25">
      <c r="A113"/>
      <c r="B113"/>
      <c r="C113"/>
      <c r="D113"/>
      <c r="E113" t="s">
        <v>203</v>
      </c>
      <c r="F113" t="s">
        <v>203</v>
      </c>
      <c r="G113" t="s">
        <v>203</v>
      </c>
      <c r="H113" t="s">
        <v>203</v>
      </c>
      <c r="I113" t="s">
        <v>204</v>
      </c>
      <c r="J113" t="s">
        <v>203</v>
      </c>
      <c r="K113" t="s">
        <v>203</v>
      </c>
      <c r="L113" s="161" t="s">
        <v>203</v>
      </c>
      <c r="M113"/>
      <c r="N113"/>
      <c r="O113"/>
      <c r="P113"/>
      <c r="Q113"/>
      <c r="R113"/>
    </row>
    <row r="114" spans="1:18" x14ac:dyDescent="0.25">
      <c r="A114"/>
      <c r="B114" s="163" t="s">
        <v>174</v>
      </c>
      <c r="C114"/>
      <c r="D114"/>
      <c r="E114" s="170">
        <f>N41</f>
        <v>48.308008274070801</v>
      </c>
      <c r="F114" s="170">
        <f>N42</f>
        <v>76.627837349402725</v>
      </c>
      <c r="G114" s="170">
        <f>N43</f>
        <v>-12.227056884761232</v>
      </c>
      <c r="H114" s="170">
        <f>N44</f>
        <v>49.524452040834163</v>
      </c>
      <c r="I114" s="157">
        <f>N45</f>
        <v>100.62068135323604</v>
      </c>
      <c r="J114" s="157">
        <f>N46</f>
        <v>113.63068645072899</v>
      </c>
      <c r="K114" s="157">
        <f>N47</f>
        <v>74.140736316429852</v>
      </c>
      <c r="L114" s="171">
        <f>N48</f>
        <v>131.71367109781136</v>
      </c>
      <c r="M114"/>
      <c r="N114" t="s">
        <v>205</v>
      </c>
      <c r="O114"/>
      <c r="P114"/>
      <c r="Q114"/>
      <c r="R114"/>
    </row>
    <row r="115" spans="1:18" x14ac:dyDescent="0.25">
      <c r="A115"/>
      <c r="B115" s="164" t="s">
        <v>144</v>
      </c>
      <c r="C115"/>
      <c r="D115"/>
      <c r="E115" s="172">
        <f>L41</f>
        <v>7.0036235577490586</v>
      </c>
      <c r="F115" s="170">
        <f>L42</f>
        <v>3.3945583698495239</v>
      </c>
      <c r="G115" s="172">
        <f>L43</f>
        <v>-2.4386430990738146E-3</v>
      </c>
      <c r="H115" s="172">
        <f>L44</f>
        <v>1.8492596433802002</v>
      </c>
      <c r="I115" s="54">
        <f>L45</f>
        <v>1.3050799772292041</v>
      </c>
      <c r="J115" s="54">
        <f>L46</f>
        <v>2.4847839371396536</v>
      </c>
      <c r="K115" s="54">
        <f>L47</f>
        <v>0.7697491933515751</v>
      </c>
      <c r="L115" s="70">
        <f>L48</f>
        <v>1.7689770161721212</v>
      </c>
      <c r="M115"/>
      <c r="N115" t="s">
        <v>206</v>
      </c>
      <c r="O115"/>
      <c r="P115"/>
      <c r="Q115"/>
      <c r="R115"/>
    </row>
    <row r="116" spans="1:18" x14ac:dyDescent="0.25">
      <c r="A116"/>
      <c r="B116" s="164" t="s">
        <v>207</v>
      </c>
      <c r="C116"/>
      <c r="D116"/>
      <c r="E116" s="170">
        <f>$J41-$N41</f>
        <v>29.17885099355459</v>
      </c>
      <c r="F116" s="170">
        <f>$J42-$N42</f>
        <v>54.899374342774976</v>
      </c>
      <c r="G116" s="170">
        <f>$J43-$N43</f>
        <v>115.23777673675863</v>
      </c>
      <c r="H116" s="170">
        <f>$J44-$N44</f>
        <v>286.59913666764845</v>
      </c>
      <c r="I116" s="170">
        <f>$J45-$N45</f>
        <v>-85.822300334953013</v>
      </c>
      <c r="J116" s="170">
        <f>$J46-$N46</f>
        <v>-21.302071794771464</v>
      </c>
      <c r="K116" s="170">
        <f>$J47-$N47</f>
        <v>96.893092379482383</v>
      </c>
      <c r="L116" s="170">
        <f>$J48-$N48</f>
        <v>-86.787090695002462</v>
      </c>
      <c r="M116"/>
      <c r="N116" t="s">
        <v>208</v>
      </c>
      <c r="O116"/>
      <c r="P116"/>
      <c r="Q116"/>
      <c r="R116"/>
    </row>
    <row r="117" spans="1:18" x14ac:dyDescent="0.25">
      <c r="A117"/>
      <c r="B117" s="164" t="s">
        <v>39</v>
      </c>
      <c r="C117"/>
      <c r="D117"/>
      <c r="E117" s="173">
        <f>$C41</f>
        <v>0.38709905596966349</v>
      </c>
      <c r="F117" s="173">
        <f>$C42</f>
        <v>0.72333216559407643</v>
      </c>
      <c r="G117" s="173">
        <f>$C43</f>
        <v>1.0000001004568437</v>
      </c>
      <c r="H117" s="173">
        <f>$C44</f>
        <v>1.5236485277736374</v>
      </c>
      <c r="I117" s="173">
        <f>$C45</f>
        <v>5.2034789345371264</v>
      </c>
      <c r="J117" s="173">
        <f>$C46</f>
        <v>9.5364948104147444</v>
      </c>
      <c r="K117" s="173">
        <f>$C47</f>
        <v>19.191554089668024</v>
      </c>
      <c r="L117" s="173">
        <f>$C48</f>
        <v>30.068724527000182</v>
      </c>
      <c r="M117"/>
      <c r="N117" t="s">
        <v>209</v>
      </c>
      <c r="O117"/>
      <c r="P117"/>
      <c r="Q117"/>
      <c r="R117"/>
    </row>
    <row r="118" spans="1:18" x14ac:dyDescent="0.25">
      <c r="A118"/>
      <c r="B118" s="164" t="s">
        <v>46</v>
      </c>
      <c r="C118"/>
      <c r="D118"/>
      <c r="E118" s="173">
        <f>$H41</f>
        <v>0.20563551311120598</v>
      </c>
      <c r="F118" s="173">
        <f>$H42</f>
        <v>6.7638051788147385E-3</v>
      </c>
      <c r="G118" s="173">
        <f>$H43</f>
        <v>1.6702959566668951E-2</v>
      </c>
      <c r="H118" s="173">
        <f>$H44</f>
        <v>9.3435046529312879E-2</v>
      </c>
      <c r="I118" s="173">
        <f>$H45</f>
        <v>4.8368076829310214E-2</v>
      </c>
      <c r="J118" s="173">
        <f>$H46</f>
        <v>5.4080434897445816E-2</v>
      </c>
      <c r="K118" s="173">
        <f>$H47</f>
        <v>4.7131159711280325E-2</v>
      </c>
      <c r="L118" s="173">
        <f>$H48</f>
        <v>8.5906606644744858E-3</v>
      </c>
      <c r="M118"/>
      <c r="N118" t="s">
        <v>166</v>
      </c>
      <c r="O118"/>
      <c r="P118"/>
      <c r="Q118"/>
      <c r="R118"/>
    </row>
    <row r="119" spans="1:18" x14ac:dyDescent="0.25">
      <c r="A119"/>
      <c r="B119" s="164" t="s">
        <v>58</v>
      </c>
      <c r="C119" s="165"/>
      <c r="D119"/>
      <c r="E119" s="174">
        <f>$C56</f>
        <v>263.58596292861273</v>
      </c>
      <c r="F119" s="174">
        <f>$C57</f>
        <v>59.345752821374077</v>
      </c>
      <c r="G119" s="174">
        <f>$C58</f>
        <v>28.406396965378747</v>
      </c>
      <c r="H119" s="174">
        <f>$C59</f>
        <v>72.508491689090135</v>
      </c>
      <c r="I119" s="174">
        <f>$C60</f>
        <v>238.82672421751244</v>
      </c>
      <c r="J119" s="174">
        <f>$C61</f>
        <v>190.94868473637214</v>
      </c>
      <c r="K119" s="174">
        <f>$C62</f>
        <v>223.9804329524701</v>
      </c>
      <c r="L119" s="174">
        <f>$C63</f>
        <v>301.64904821752668</v>
      </c>
      <c r="M119"/>
      <c r="N119" t="s">
        <v>62</v>
      </c>
      <c r="O119"/>
      <c r="P119"/>
      <c r="Q119"/>
      <c r="R119"/>
    </row>
    <row r="120" spans="1:18" ht="15.75" x14ac:dyDescent="0.25">
      <c r="A120"/>
      <c r="B120"/>
      <c r="C120"/>
      <c r="D120"/>
      <c r="E120"/>
      <c r="F120"/>
      <c r="G120"/>
      <c r="H120" s="28"/>
      <c r="I120"/>
      <c r="J120"/>
      <c r="K120"/>
      <c r="L120" s="166"/>
      <c r="M120"/>
      <c r="N120"/>
      <c r="O120"/>
      <c r="P120"/>
      <c r="Q120"/>
      <c r="R120"/>
    </row>
    <row r="121" spans="1:18" x14ac:dyDescent="0.25">
      <c r="A121"/>
      <c r="B121"/>
      <c r="C121"/>
      <c r="D121"/>
      <c r="E121"/>
      <c r="F121"/>
      <c r="G121"/>
      <c r="H121" s="28"/>
      <c r="I121"/>
      <c r="J121"/>
      <c r="K121"/>
      <c r="L121" s="167"/>
      <c r="M121"/>
      <c r="N121"/>
      <c r="O121"/>
      <c r="P121"/>
      <c r="Q121"/>
      <c r="R121"/>
    </row>
    <row r="122" spans="1:18" x14ac:dyDescent="0.25">
      <c r="A122"/>
      <c r="B122" t="s">
        <v>51</v>
      </c>
      <c r="C122"/>
      <c r="D122"/>
      <c r="E122" s="28">
        <f t="shared" ref="E122:K122" si="24">E114+E116</f>
        <v>77.486859267625391</v>
      </c>
      <c r="F122" s="28">
        <f t="shared" si="24"/>
        <v>131.5272116921777</v>
      </c>
      <c r="G122" s="28">
        <f t="shared" si="24"/>
        <v>103.01071985199741</v>
      </c>
      <c r="H122" s="28">
        <f t="shared" si="24"/>
        <v>336.1235887084826</v>
      </c>
      <c r="I122" s="28">
        <f t="shared" si="24"/>
        <v>14.798381018283024</v>
      </c>
      <c r="J122" s="28">
        <f t="shared" si="24"/>
        <v>92.328614655957523</v>
      </c>
      <c r="K122" s="28">
        <f t="shared" si="24"/>
        <v>171.03382869591223</v>
      </c>
      <c r="L122" s="28">
        <f>L114+L116</f>
        <v>44.926580402808895</v>
      </c>
      <c r="M122"/>
      <c r="N122"/>
      <c r="O122"/>
      <c r="P122"/>
      <c r="Q122"/>
      <c r="R122"/>
    </row>
    <row r="123" spans="1:18" x14ac:dyDescent="0.25">
      <c r="A123"/>
      <c r="B123"/>
      <c r="C123"/>
      <c r="D123"/>
      <c r="E123"/>
      <c r="F123"/>
      <c r="G123"/>
      <c r="H123"/>
      <c r="I123"/>
      <c r="J123"/>
      <c r="K123"/>
      <c r="L123" s="167"/>
      <c r="M123"/>
      <c r="N123"/>
      <c r="O123"/>
      <c r="P123"/>
      <c r="Q123"/>
      <c r="R123"/>
    </row>
    <row r="124" spans="1:18" x14ac:dyDescent="0.25">
      <c r="A124"/>
      <c r="B124" s="168" t="s">
        <v>210</v>
      </c>
      <c r="C124"/>
      <c r="D124"/>
      <c r="E124" s="28">
        <f>E119+(180/PI()*E118*SIN(RADIANS(E119))*(1+E118*COS(RADIANS(E119))))</f>
        <v>252.14662813270064</v>
      </c>
      <c r="F124" s="28">
        <f t="shared" ref="F124:L124" si="25">F119+(180/PI()*F118*SIN(RADIANS(F119))*(1+F118*COS(RADIANS(F119))))</f>
        <v>59.680285393993273</v>
      </c>
      <c r="G124" s="28">
        <f t="shared" si="25"/>
        <v>28.868356409618347</v>
      </c>
      <c r="H124" s="28">
        <f t="shared" si="25"/>
        <v>77.75778106022068</v>
      </c>
      <c r="I124" s="28">
        <f>I119+(180/PI()*I118*SIN(RADIANS(I119))*(1+I118*COS(RADIANS(I119))))</f>
        <v>236.51496047880178</v>
      </c>
      <c r="J124" s="28">
        <f t="shared" si="25"/>
        <v>190.39141976735971</v>
      </c>
      <c r="K124" s="28">
        <f t="shared" si="25"/>
        <v>222.16882608381161</v>
      </c>
      <c r="L124" s="28">
        <f t="shared" si="25"/>
        <v>301.22815310187167</v>
      </c>
      <c r="M124"/>
      <c r="N124" t="s">
        <v>175</v>
      </c>
      <c r="O124"/>
      <c r="P124" t="s">
        <v>211</v>
      </c>
      <c r="Q124"/>
      <c r="R124"/>
    </row>
    <row r="125" spans="1:18" x14ac:dyDescent="0.25">
      <c r="A125"/>
      <c r="B125"/>
      <c r="C125" s="167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x14ac:dyDescent="0.25">
      <c r="A126"/>
      <c r="B126"/>
      <c r="C126" t="s">
        <v>212</v>
      </c>
      <c r="D126"/>
      <c r="E126" s="169">
        <f>E124-(E124-180/PI()*E118*SIN(RADIANS(E124))-E119)/(1-E118*SIN(RADIANS(E124)))</f>
        <v>252.3345140953372</v>
      </c>
      <c r="F126" s="169">
        <f t="shared" ref="F126:K126" si="26">F124-(F124-180/PI()*F118*SIN(RADIANS(F124))-F119)/(1-F118*SIN(RADIANS(F124)))</f>
        <v>59.680283659552323</v>
      </c>
      <c r="G126" s="169">
        <f t="shared" si="26"/>
        <v>28.868440486555368</v>
      </c>
      <c r="H126" s="169">
        <f t="shared" si="26"/>
        <v>77.738420103735578</v>
      </c>
      <c r="I126" s="169">
        <f t="shared" si="26"/>
        <v>236.51537166283168</v>
      </c>
      <c r="J126" s="169">
        <f t="shared" si="26"/>
        <v>190.38980377079108</v>
      </c>
      <c r="K126" s="169">
        <f t="shared" si="26"/>
        <v>222.16763398908128</v>
      </c>
      <c r="L126" s="169">
        <f>L124-(L124-180/PI()*L118*SIN(RADIANS(L124))-L119)/(1-L118*SIN(RADIANS(L124)))</f>
        <v>301.22815589024765</v>
      </c>
      <c r="M126"/>
      <c r="N126" t="s">
        <v>213</v>
      </c>
      <c r="O126"/>
      <c r="P126"/>
      <c r="Q126"/>
      <c r="R126"/>
    </row>
    <row r="127" spans="1:18" x14ac:dyDescent="0.25">
      <c r="A127"/>
      <c r="B127"/>
      <c r="C127" s="20" t="s">
        <v>214</v>
      </c>
      <c r="D127"/>
      <c r="E127" s="20">
        <f>$F56</f>
        <v>252.38490851634472</v>
      </c>
      <c r="F127" s="20">
        <f>$F57</f>
        <v>59.680283715209406</v>
      </c>
      <c r="G127" s="20">
        <f>$F58</f>
        <v>28.868440307419789</v>
      </c>
      <c r="H127" s="20">
        <f>$F59</f>
        <v>77.741533832426541</v>
      </c>
      <c r="I127" s="20">
        <f>$F60</f>
        <v>236.51550461289668</v>
      </c>
      <c r="J127" s="20">
        <f>$F61</f>
        <v>190.38979168334211</v>
      </c>
      <c r="K127" s="20">
        <f>$F62</f>
        <v>222.16767355252554</v>
      </c>
      <c r="L127" s="20">
        <f>$F63</f>
        <v>301.22815579247992</v>
      </c>
      <c r="M127"/>
      <c r="N127" t="s">
        <v>215</v>
      </c>
      <c r="O127"/>
      <c r="P127"/>
      <c r="Q127"/>
      <c r="R127"/>
    </row>
    <row r="128" spans="1:18" x14ac:dyDescent="0.25">
      <c r="A128"/>
      <c r="B128"/>
      <c r="C128"/>
      <c r="D128"/>
      <c r="E128"/>
      <c r="F128"/>
      <c r="G128"/>
      <c r="H128"/>
      <c r="I128"/>
      <c r="J128"/>
      <c r="K128"/>
      <c r="L128" s="167"/>
      <c r="M128"/>
      <c r="N128"/>
      <c r="O128"/>
      <c r="P128"/>
      <c r="Q128"/>
      <c r="R128"/>
    </row>
    <row r="129" spans="1:21" ht="15.75" x14ac:dyDescent="0.25">
      <c r="A129"/>
      <c r="B129" s="175" t="s">
        <v>216</v>
      </c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21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21" x14ac:dyDescent="0.25">
      <c r="A131"/>
      <c r="B131" t="s">
        <v>49</v>
      </c>
      <c r="C131"/>
      <c r="D131"/>
      <c r="E131" s="28">
        <f>E117*(COS(RADIANS(E126))-E118)</f>
        <v>-0.19707005853125806</v>
      </c>
      <c r="F131" s="28">
        <f t="shared" ref="F131:L131" si="27">F117*(COS(RADIANS(F126))-F118)</f>
        <v>0.36026346662278841</v>
      </c>
      <c r="G131" s="28">
        <f t="shared" si="27"/>
        <v>0.85902772126264704</v>
      </c>
      <c r="H131" s="28">
        <f t="shared" si="27"/>
        <v>0.1812229491670117</v>
      </c>
      <c r="I131" s="28">
        <f t="shared" si="27"/>
        <v>-3.1225105195046932</v>
      </c>
      <c r="J131" s="28">
        <f t="shared" si="27"/>
        <v>-9.8958682231446815</v>
      </c>
      <c r="K131" s="28">
        <f t="shared" si="27"/>
        <v>-15.128991657695959</v>
      </c>
      <c r="L131" s="28">
        <f t="shared" si="27"/>
        <v>15.330738352797443</v>
      </c>
      <c r="M131"/>
      <c r="N131" t="s">
        <v>217</v>
      </c>
      <c r="O131"/>
      <c r="P131"/>
      <c r="Q131"/>
      <c r="R131"/>
    </row>
    <row r="132" spans="1:21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21" x14ac:dyDescent="0.25">
      <c r="A133"/>
      <c r="B133" t="s">
        <v>50</v>
      </c>
      <c r="C133"/>
      <c r="D133"/>
      <c r="E133" s="28">
        <f t="shared" ref="E133:L133" si="28">E117*SQRT(1-E118^2)*SIN(RADIANS(E126))</f>
        <v>-0.36096246893250655</v>
      </c>
      <c r="F133" s="28">
        <f t="shared" si="28"/>
        <v>0.624381871765329</v>
      </c>
      <c r="G133" s="28">
        <f t="shared" si="28"/>
        <v>0.48273278472652115</v>
      </c>
      <c r="H133" s="28">
        <f t="shared" si="28"/>
        <v>1.4823780302850713</v>
      </c>
      <c r="I133" s="28">
        <f>I117*SQRT(1-I118^2)*SIN(RADIANS(I126))</f>
        <v>-4.3347981872818311</v>
      </c>
      <c r="J133" s="28">
        <f t="shared" si="28"/>
        <v>-1.7173337924333241</v>
      </c>
      <c r="K133" s="28">
        <f t="shared" si="28"/>
        <v>-12.869011646238951</v>
      </c>
      <c r="L133" s="28">
        <f t="shared" si="28"/>
        <v>-25.71110596766858</v>
      </c>
      <c r="M133"/>
      <c r="N133" t="s">
        <v>218</v>
      </c>
      <c r="O133"/>
      <c r="P133"/>
      <c r="Q133"/>
      <c r="R133"/>
    </row>
    <row r="134" spans="1:21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21" ht="15.75" x14ac:dyDescent="0.25">
      <c r="A135"/>
      <c r="B135" s="175" t="s">
        <v>219</v>
      </c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21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21" x14ac:dyDescent="0.25">
      <c r="A137"/>
      <c r="B137" s="168" t="s">
        <v>99</v>
      </c>
      <c r="C137"/>
      <c r="D137"/>
      <c r="E137" s="28">
        <f>SQRT(E131^2+E133^2)</f>
        <v>0.411254801731681</v>
      </c>
      <c r="F137" s="28">
        <f t="shared" ref="F137:L137" si="29">SQRT(F131^2+F133^2)</f>
        <v>0.72086232192579236</v>
      </c>
      <c r="G137" s="28">
        <f t="shared" si="29"/>
        <v>0.98537280627563384</v>
      </c>
      <c r="H137" s="28">
        <f t="shared" si="29"/>
        <v>1.4934143370065247</v>
      </c>
      <c r="I137" s="28">
        <f t="shared" si="29"/>
        <v>5.3423353759268348</v>
      </c>
      <c r="J137" s="28">
        <f t="shared" si="29"/>
        <v>10.043776343810036</v>
      </c>
      <c r="K137" s="28">
        <f t="shared" si="29"/>
        <v>19.861969925706454</v>
      </c>
      <c r="L137" s="28">
        <f t="shared" si="29"/>
        <v>29.934804300723552</v>
      </c>
      <c r="M137"/>
      <c r="N137" t="s">
        <v>220</v>
      </c>
      <c r="O137"/>
      <c r="P137"/>
      <c r="Q137"/>
      <c r="R137"/>
    </row>
    <row r="138" spans="1:21" x14ac:dyDescent="0.25">
      <c r="A138"/>
      <c r="B138"/>
      <c r="C138"/>
      <c r="D138" s="20" t="s">
        <v>214</v>
      </c>
      <c r="E138" s="20">
        <f>E117*(1-E118^2)/(1+E118*COS(RADIANS(E140)))</f>
        <v>0.41109988735268055</v>
      </c>
      <c r="F138" s="20">
        <f t="shared" ref="F138:L138" si="30">F117*(1-F118^2)/(1+F118*COS(RADIANS(F140)))</f>
        <v>0.72086232193766531</v>
      </c>
      <c r="G138" s="20">
        <f t="shared" si="30"/>
        <v>0.98537280598316579</v>
      </c>
      <c r="H138" s="20">
        <f t="shared" si="30"/>
        <v>1.4934303327953025</v>
      </c>
      <c r="I138" s="20">
        <f t="shared" si="30"/>
        <v>5.3423338956932822</v>
      </c>
      <c r="J138" s="20">
        <f t="shared" si="30"/>
        <v>10.043776690285828</v>
      </c>
      <c r="K138" s="20">
        <f t="shared" si="30"/>
        <v>19.861968867051509</v>
      </c>
      <c r="L138" s="20">
        <f t="shared" si="30"/>
        <v>29.934804302129244</v>
      </c>
      <c r="M138"/>
      <c r="N138" t="s">
        <v>221</v>
      </c>
      <c r="O138"/>
      <c r="P138"/>
      <c r="Q138"/>
      <c r="R138"/>
      <c r="S138" t="s">
        <v>222</v>
      </c>
    </row>
    <row r="139" spans="1:21" x14ac:dyDescent="0.25">
      <c r="A139"/>
      <c r="B139" s="168" t="s">
        <v>179</v>
      </c>
      <c r="C139"/>
      <c r="D139"/>
      <c r="E139" s="28">
        <f t="shared" ref="E139:L139" si="31">IF(ATAN2(E131,E133)*180/PI()&lt;0,360+ATAN2(E131,E133)*180/PI(),ATAN2(E131,E133)*180/PI())</f>
        <v>241.3673488965193</v>
      </c>
      <c r="F139" s="28">
        <f t="shared" si="31"/>
        <v>60.015389496516669</v>
      </c>
      <c r="G139" s="28">
        <f t="shared" si="31"/>
        <v>29.33391883031274</v>
      </c>
      <c r="H139" s="28">
        <f t="shared" si="31"/>
        <v>83.030090027325102</v>
      </c>
      <c r="I139" s="28">
        <f>IF(ATAN2(I131,I133)*180/PI()&lt;0,360+ATAN2(I131,I133)*180/PI(),ATAN2(I131,I133)*180/PI())</f>
        <v>234.23344184559824</v>
      </c>
      <c r="J139" s="28">
        <f t="shared" si="31"/>
        <v>189.84508640562274</v>
      </c>
      <c r="K139" s="28">
        <f t="shared" si="31"/>
        <v>220.38512872642161</v>
      </c>
      <c r="L139" s="28">
        <f t="shared" si="31"/>
        <v>300.80631832304778</v>
      </c>
      <c r="M139"/>
      <c r="N139" t="s">
        <v>223</v>
      </c>
      <c r="O139"/>
      <c r="P139"/>
      <c r="Q139"/>
      <c r="R139"/>
    </row>
    <row r="140" spans="1:21" x14ac:dyDescent="0.25">
      <c r="A140"/>
      <c r="B140"/>
      <c r="C140"/>
      <c r="D140" s="20" t="s">
        <v>214</v>
      </c>
      <c r="E140" s="20">
        <f>H56</f>
        <v>241.47512986979964</v>
      </c>
      <c r="F140" s="20">
        <f>H57</f>
        <v>60.015389658141693</v>
      </c>
      <c r="G140" s="20">
        <f>H58</f>
        <v>29.333916721786181</v>
      </c>
      <c r="H140" s="20">
        <f>H59</f>
        <v>83.036781907586246</v>
      </c>
      <c r="I140" s="20">
        <f>H60</f>
        <v>234.23383491538587</v>
      </c>
      <c r="J140" s="20">
        <f>H61</f>
        <v>189.84488404558778</v>
      </c>
      <c r="K140" s="20">
        <f>H62</f>
        <v>220.38522514159112</v>
      </c>
      <c r="L140" s="20">
        <f>H63</f>
        <v>300.80631795680267</v>
      </c>
      <c r="M140"/>
      <c r="N140" s="176" t="s">
        <v>224</v>
      </c>
      <c r="O140"/>
      <c r="P140" s="167"/>
      <c r="Q140"/>
      <c r="R140"/>
    </row>
    <row r="141" spans="1:21" ht="15.75" x14ac:dyDescent="0.25">
      <c r="A141"/>
      <c r="B141" s="175" t="s">
        <v>225</v>
      </c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21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21" ht="18" x14ac:dyDescent="0.35">
      <c r="A143"/>
      <c r="B143" t="s">
        <v>226</v>
      </c>
      <c r="C143"/>
      <c r="D143"/>
      <c r="E143" s="28">
        <f>E137*(COS(RADIANS(E114))*COS(RADIANS(E139+E116))-SIN(RADIANS(E114))*SIN(RADIANS(E139+E116))*COS(RADIANS(E115)))</f>
        <v>0.30739908070779282</v>
      </c>
      <c r="F143" s="28">
        <f t="shared" ref="F143:L143" si="32">F137*(COS(RADIANS(F114))*COS(RADIANS(F139+F116))-SIN(RADIANS(F114))*SIN(RADIANS(F139+F116))*COS(RADIANS(F115)))</f>
        <v>-0.70516776578792351</v>
      </c>
      <c r="G143" s="28">
        <f t="shared" si="32"/>
        <v>-0.66373583975215122</v>
      </c>
      <c r="H143" s="28">
        <f t="shared" si="32"/>
        <v>0.76582794922892017</v>
      </c>
      <c r="I143" s="28">
        <f>I137*(COS(RADIANS(I114))*COS(RADIANS(I139+I116))-SIN(RADIANS(I114))*SIN(RADIANS(I139+I116))*COS(RADIANS(I115)))</f>
        <v>-1.9110378611139156</v>
      </c>
      <c r="J143" s="28">
        <f t="shared" si="32"/>
        <v>2.119711246860311</v>
      </c>
      <c r="K143" s="28">
        <f t="shared" si="32"/>
        <v>16.948605651145815</v>
      </c>
      <c r="L143" s="28">
        <f t="shared" si="32"/>
        <v>29.005578911715752</v>
      </c>
      <c r="M143"/>
      <c r="N143" t="s">
        <v>227</v>
      </c>
      <c r="O143"/>
      <c r="P143"/>
      <c r="Q143"/>
      <c r="R143"/>
      <c r="U143" s="167"/>
    </row>
    <row r="144" spans="1:21" x14ac:dyDescent="0.25">
      <c r="A144"/>
      <c r="B144"/>
      <c r="C144"/>
      <c r="D144" s="20" t="s">
        <v>214</v>
      </c>
      <c r="E144" s="20">
        <f>E138*(COS(RADIANS(E114))*COS(RADIANS(E140+E116))-SIN(RADIANS(E114))*SIN(RADIANS(E140+E116))*COS(RADIANS(E115)))</f>
        <v>0.30779162041857244</v>
      </c>
      <c r="F144" s="20">
        <f t="shared" ref="F144:L144" si="33">F138*(COS(RADIANS(F114))*COS(RADIANS(F140+F116))-SIN(RADIANS(F114))*SIN(RADIANS(F140+F116))*COS(RADIANS(F115)))</f>
        <v>-0.70516776539410941</v>
      </c>
      <c r="G144" s="20">
        <f t="shared" si="33"/>
        <v>-0.6637358127533417</v>
      </c>
      <c r="H144" s="20">
        <f t="shared" si="33"/>
        <v>0.7656864623962355</v>
      </c>
      <c r="I144" s="20">
        <f>I138*(COS(RADIANS(I114))*COS(RADIANS(I140+I116))-SIN(RADIANS(I114))*SIN(RADIANS(I140+I116))*COS(RADIANS(I115)))</f>
        <v>-1.9110031161920433</v>
      </c>
      <c r="J144" s="20">
        <f t="shared" si="33"/>
        <v>2.119676674506735</v>
      </c>
      <c r="K144" s="20">
        <f t="shared" si="33"/>
        <v>16.948587326755248</v>
      </c>
      <c r="L144" s="20">
        <f t="shared" si="33"/>
        <v>29.005578865977757</v>
      </c>
      <c r="M144"/>
      <c r="N144"/>
      <c r="O144"/>
      <c r="P144"/>
      <c r="Q144"/>
      <c r="R144"/>
    </row>
    <row r="145" spans="1:21" ht="18" x14ac:dyDescent="0.35">
      <c r="A145"/>
      <c r="B145" t="s">
        <v>228</v>
      </c>
      <c r="C145"/>
      <c r="D145"/>
      <c r="E145" s="28">
        <f>E137*(SIN(RADIANS(E114))*COS(RADIANS(E139+E116))+COS(RADIANS(E114))*SIN(RADIANS(E139+E116))*COS(RADIANS(E115)))</f>
        <v>-0.26855540916922532</v>
      </c>
      <c r="F145" s="28">
        <f t="shared" ref="F145:K145" si="34">F137*(SIN(RADIANS(F114))*COS(RADIANS(F139+F116))+COS(RADIANS(F114))*SIN(RADIANS(F139+F116))*COS(RADIANS(F115)))</f>
        <v>-0.14450730658209202</v>
      </c>
      <c r="G145" s="28">
        <f t="shared" si="34"/>
        <v>0.72829547697686547</v>
      </c>
      <c r="H145" s="28">
        <f t="shared" si="34"/>
        <v>1.2820799313390023</v>
      </c>
      <c r="I145" s="28">
        <f>I137*(SIN(RADIANS(I114))*COS(RADIANS(I139+I116))+COS(RADIANS(I114))*SIN(RADIANS(I139+I116))*COS(RADIANS(I115)))</f>
        <v>-4.9884285281119176</v>
      </c>
      <c r="J145" s="28">
        <f t="shared" si="34"/>
        <v>-9.8171679514686172</v>
      </c>
      <c r="K145" s="28">
        <f t="shared" si="34"/>
        <v>10.354218683178111</v>
      </c>
      <c r="L145" s="28">
        <f>L137*(SIN(RADIANS(L114))*COS(RADIANS(L139+L116))+COS(RADIANS(L114))*SIN(RADIANS(L139+L116))*COS(RADIANS(L115)))</f>
        <v>-7.3825211682962131</v>
      </c>
      <c r="M145"/>
      <c r="N145" t="s">
        <v>229</v>
      </c>
      <c r="O145"/>
      <c r="P145"/>
      <c r="Q145"/>
      <c r="R145"/>
      <c r="U145" s="167"/>
    </row>
    <row r="146" spans="1:21" x14ac:dyDescent="0.25">
      <c r="A146"/>
      <c r="B146"/>
      <c r="C146"/>
      <c r="D146" s="20" t="s">
        <v>214</v>
      </c>
      <c r="E146" s="20">
        <f>E138*(SIN(RADIANS(E114))*COS(RADIANS(E140+E116))+COS(RADIANS(E114))*SIN(RADIANS(E140+E116))*COS(RADIANS(E115)))</f>
        <v>-0.26787146042243004</v>
      </c>
      <c r="F146" s="20">
        <f t="shared" ref="F146:L146" si="35">F138*(SIN(RADIANS(F114))*COS(RADIANS(F140+F116))+COS(RADIANS(F114))*SIN(RADIANS(F140+F116))*COS(RADIANS(F115)))</f>
        <v>-0.14450730857647243</v>
      </c>
      <c r="G146" s="20">
        <f t="shared" si="35"/>
        <v>0.7282955011866642</v>
      </c>
      <c r="H146" s="20">
        <f t="shared" si="35"/>
        <v>1.2821830312043558</v>
      </c>
      <c r="I146" s="20">
        <f>I138*(SIN(RADIANS(I114))*COS(RADIANS(I140+I116))+COS(RADIANS(I114))*SIN(RADIANS(I140+I116))*COS(RADIANS(I115)))</f>
        <v>-4.9884402626154101</v>
      </c>
      <c r="J146" s="20">
        <f t="shared" si="35"/>
        <v>-9.8171757573938319</v>
      </c>
      <c r="K146" s="20">
        <f t="shared" si="35"/>
        <v>10.354246653110934</v>
      </c>
      <c r="L146" s="20">
        <f t="shared" si="35"/>
        <v>-7.3825213540396382</v>
      </c>
      <c r="M146"/>
      <c r="N146"/>
      <c r="O146"/>
      <c r="P146"/>
      <c r="Q146"/>
      <c r="R146"/>
    </row>
    <row r="147" spans="1:21" ht="18" x14ac:dyDescent="0.35">
      <c r="A147"/>
      <c r="B147" t="s">
        <v>230</v>
      </c>
      <c r="C147"/>
      <c r="D147"/>
      <c r="E147" s="28">
        <f>E137*SIN(RADIANS(E139+E116))*SIN(RADIANS(E115))</f>
        <v>-5.0142889160060537E-2</v>
      </c>
      <c r="F147" s="28">
        <f t="shared" ref="F147:L147" si="36">F137*SIN(RADIANS(F139+F116))*SIN(RADIANS(F115))</f>
        <v>3.8711078650720501E-2</v>
      </c>
      <c r="G147" s="28">
        <f t="shared" si="36"/>
        <v>-2.4311812253401161E-5</v>
      </c>
      <c r="H147" s="28">
        <f t="shared" si="36"/>
        <v>8.0612538878114467E-3</v>
      </c>
      <c r="I147" s="28">
        <f>I137*SIN(RADIANS(I139+I116))*SIN(RADIANS(I115))</f>
        <v>6.3736819716901316E-2</v>
      </c>
      <c r="J147" s="28">
        <f t="shared" si="36"/>
        <v>8.6492121430012572E-2</v>
      </c>
      <c r="K147" s="28">
        <f t="shared" si="36"/>
        <v>-0.18102837496115001</v>
      </c>
      <c r="L147" s="28">
        <f t="shared" si="36"/>
        <v>-0.51699295788838084</v>
      </c>
      <c r="M147"/>
      <c r="N147" t="s">
        <v>231</v>
      </c>
      <c r="O147"/>
      <c r="P147"/>
      <c r="Q147"/>
      <c r="R147"/>
    </row>
    <row r="148" spans="1:21" x14ac:dyDescent="0.25">
      <c r="A148"/>
      <c r="B148"/>
      <c r="C148"/>
      <c r="D148" s="20" t="s">
        <v>214</v>
      </c>
      <c r="E148" s="177">
        <f>E138*SIN(RADIANS(E140+E116))*SIN(RADIANS(E115))</f>
        <v>-5.012301340353089E-2</v>
      </c>
      <c r="F148" s="177">
        <f t="shared" ref="F148:L148" si="37">F138*SIN(RADIANS(F140+F116))*SIN(RADIANS(F115))</f>
        <v>3.87110786006351E-2</v>
      </c>
      <c r="G148" s="177">
        <f t="shared" si="37"/>
        <v>-2.4311813503823558E-5</v>
      </c>
      <c r="H148" s="177">
        <f t="shared" si="37"/>
        <v>8.0668896010686469E-3</v>
      </c>
      <c r="I148" s="177">
        <f>I138*SIN(RADIANS(I140+I116))*SIN(RADIANS(I115))</f>
        <v>6.3736090993691069E-2</v>
      </c>
      <c r="J148" s="177">
        <f t="shared" si="37"/>
        <v>8.6493631672314289E-2</v>
      </c>
      <c r="K148" s="177">
        <f t="shared" si="37"/>
        <v>-0.18102803544178966</v>
      </c>
      <c r="L148" s="177">
        <f t="shared" si="37"/>
        <v>-0.51699295301676351</v>
      </c>
      <c r="M148"/>
      <c r="N148"/>
      <c r="O148"/>
      <c r="P148"/>
      <c r="Q148"/>
      <c r="R148"/>
    </row>
    <row r="149" spans="1:21" ht="15.75" x14ac:dyDescent="0.25">
      <c r="A149"/>
      <c r="B149"/>
      <c r="C149"/>
      <c r="D149"/>
      <c r="E149" s="3" t="s">
        <v>156</v>
      </c>
      <c r="F149" s="3" t="s">
        <v>157</v>
      </c>
      <c r="G149" s="3" t="s">
        <v>158</v>
      </c>
      <c r="H149" s="3" t="s">
        <v>159</v>
      </c>
      <c r="I149" s="3" t="s">
        <v>160</v>
      </c>
      <c r="J149" s="3" t="s">
        <v>161</v>
      </c>
      <c r="K149" s="3" t="s">
        <v>162</v>
      </c>
      <c r="L149" s="161" t="s">
        <v>163</v>
      </c>
      <c r="M149"/>
      <c r="N149"/>
      <c r="O149"/>
      <c r="P149"/>
      <c r="Q149"/>
      <c r="R149"/>
    </row>
    <row r="150" spans="1:21" x14ac:dyDescent="0.25">
      <c r="A150"/>
      <c r="B150" s="18" t="s">
        <v>59</v>
      </c>
      <c r="C150" s="18"/>
      <c r="D150" s="18"/>
      <c r="E150" s="169">
        <f>IF(ATAN2(E143,E145)*180/PI()&lt;0,360+ATAN2(E143,E145)*180/PI(),ATAN2(E143,E145)*180/PI())</f>
        <v>318.85831405277889</v>
      </c>
      <c r="F150" s="169">
        <f t="shared" ref="F150:L150" si="38">IF(ATAN2(F143,F145)*180/PI()&lt;0,360+ATAN2(F143,F145)*180/PI(),ATAN2(F143,F145)*180/PI())</f>
        <v>191.58106483768265</v>
      </c>
      <c r="G150" s="169">
        <f t="shared" si="38"/>
        <v>132.34463870682382</v>
      </c>
      <c r="H150" s="169">
        <f t="shared" si="38"/>
        <v>59.148757526326278</v>
      </c>
      <c r="I150" s="169">
        <f t="shared" si="38"/>
        <v>249.03845522838174</v>
      </c>
      <c r="J150" s="169">
        <f t="shared" si="38"/>
        <v>282.1841887854842</v>
      </c>
      <c r="K150" s="169">
        <f t="shared" si="38"/>
        <v>31.421534649100739</v>
      </c>
      <c r="L150" s="169">
        <f t="shared" si="38"/>
        <v>345.72023459016395</v>
      </c>
      <c r="M150"/>
      <c r="N150" t="s">
        <v>232</v>
      </c>
      <c r="O150" t="s">
        <v>233</v>
      </c>
      <c r="P150"/>
      <c r="Q150"/>
      <c r="R150"/>
      <c r="S150" s="167"/>
    </row>
    <row r="151" spans="1:21" x14ac:dyDescent="0.25">
      <c r="A151"/>
      <c r="B151"/>
      <c r="C151"/>
      <c r="D151" s="20"/>
      <c r="E151" s="153">
        <f>ATAN2(E143,E145)*180/PI()-INT((ATAN2(E143,E145)*180/PI())/360)*360</f>
        <v>318.85831405277889</v>
      </c>
      <c r="F151" s="153">
        <f>ATAN2(F143,F145)*180/PI()-INT((ATAN2(F143,F145)*180/PI())/360)*360</f>
        <v>191.58106483768265</v>
      </c>
      <c r="G151" s="153">
        <f t="shared" ref="G151:L151" si="39">ATAN2(G143,G145)*180/PI()-INT((ATAN2(G143,G145)*180/PI())/360)*360</f>
        <v>132.34463870682382</v>
      </c>
      <c r="H151" s="153">
        <f t="shared" si="39"/>
        <v>59.148757526326278</v>
      </c>
      <c r="I151" s="153">
        <f t="shared" si="39"/>
        <v>249.03845522838174</v>
      </c>
      <c r="J151" s="153">
        <f t="shared" si="39"/>
        <v>282.1841887854842</v>
      </c>
      <c r="K151" s="153">
        <f t="shared" si="39"/>
        <v>31.421534649100739</v>
      </c>
      <c r="L151" s="153">
        <f t="shared" si="39"/>
        <v>345.72023459016395</v>
      </c>
      <c r="M151"/>
      <c r="N151" s="178" t="s">
        <v>234</v>
      </c>
      <c r="O151" s="153" t="s">
        <v>235</v>
      </c>
      <c r="P151" s="153"/>
      <c r="Q151" s="153"/>
      <c r="R151" s="153"/>
      <c r="S151" s="153"/>
      <c r="T151" s="179"/>
      <c r="U151" s="153"/>
    </row>
    <row r="152" spans="1:21" x14ac:dyDescent="0.25">
      <c r="A152"/>
      <c r="B152"/>
      <c r="C152"/>
      <c r="D152" s="20"/>
      <c r="E152" s="153"/>
      <c r="F152" s="153"/>
      <c r="G152" s="153"/>
      <c r="H152" s="153"/>
      <c r="I152" s="153"/>
      <c r="J152" s="153"/>
      <c r="K152" s="153"/>
      <c r="L152" s="153"/>
      <c r="M152"/>
      <c r="N152"/>
      <c r="O152" s="153"/>
      <c r="P152" s="153"/>
      <c r="Q152" s="153"/>
      <c r="R152" s="153"/>
      <c r="S152" s="153"/>
      <c r="T152" s="179"/>
      <c r="U152" s="153"/>
    </row>
    <row r="153" spans="1:21" x14ac:dyDescent="0.25">
      <c r="A153"/>
      <c r="B153"/>
      <c r="C153"/>
      <c r="D153" s="20"/>
      <c r="E153" s="134">
        <f>ATAN2(E147,SQRT(E143^2+E145^2))*180/PI()</f>
        <v>97.0033037286899</v>
      </c>
      <c r="F153" s="134">
        <f t="shared" ref="F153:L153" si="40">ATAN2(F147,SQRT(F143^2+F145^2))*180/PI()</f>
        <v>86.921674523636028</v>
      </c>
      <c r="G153" s="134">
        <f t="shared" si="40"/>
        <v>90.001413641847734</v>
      </c>
      <c r="H153" s="134">
        <f t="shared" si="40"/>
        <v>89.690723426925956</v>
      </c>
      <c r="I153" s="134">
        <f t="shared" si="40"/>
        <v>89.316415546700455</v>
      </c>
      <c r="J153" s="134">
        <f t="shared" si="40"/>
        <v>89.506590489313922</v>
      </c>
      <c r="K153" s="134">
        <f t="shared" si="40"/>
        <v>90.522219372278059</v>
      </c>
      <c r="L153" s="134">
        <f t="shared" si="40"/>
        <v>90.989583462217212</v>
      </c>
      <c r="M153"/>
      <c r="N153" t="s">
        <v>236</v>
      </c>
      <c r="O153" s="153"/>
      <c r="P153" s="153"/>
      <c r="Q153" s="153"/>
      <c r="R153" s="153"/>
      <c r="S153" s="153"/>
      <c r="T153" s="179"/>
      <c r="U153" s="153"/>
    </row>
    <row r="154" spans="1:21" x14ac:dyDescent="0.25">
      <c r="A154"/>
      <c r="B154"/>
      <c r="C154"/>
      <c r="D154" s="20"/>
      <c r="E154" s="153">
        <f>ATAN2(E147,SQRT(E143^2+E145^2))*180/PI()-INT(ATAN2(E147,SQRT(E143^2+E145^2))*180/PI()/360)*360</f>
        <v>97.0033037286899</v>
      </c>
      <c r="F154" s="153">
        <f t="shared" ref="F154:L154" si="41">ATAN2(F147,SQRT(F143^2+F145^2))*180/PI()-INT(ATAN2(F147,SQRT(F143^2+F145^2))*180/PI()/360)*360</f>
        <v>86.921674523636028</v>
      </c>
      <c r="G154" s="153">
        <f t="shared" si="41"/>
        <v>90.001413641847734</v>
      </c>
      <c r="H154" s="153">
        <f t="shared" si="41"/>
        <v>89.690723426925956</v>
      </c>
      <c r="I154" s="153">
        <f t="shared" si="41"/>
        <v>89.316415546700455</v>
      </c>
      <c r="J154" s="153">
        <f t="shared" si="41"/>
        <v>89.506590489313922</v>
      </c>
      <c r="K154" s="153">
        <f t="shared" si="41"/>
        <v>90.522219372278059</v>
      </c>
      <c r="L154" s="153">
        <f t="shared" si="41"/>
        <v>90.989583462217212</v>
      </c>
      <c r="M154"/>
      <c r="N154" s="178" t="s">
        <v>234</v>
      </c>
      <c r="O154" s="153" t="s">
        <v>237</v>
      </c>
      <c r="P154" s="153"/>
      <c r="Q154" s="153"/>
      <c r="R154" s="153"/>
      <c r="S154" s="153"/>
      <c r="T154" s="179"/>
      <c r="U154" s="153"/>
    </row>
    <row r="155" spans="1:21" x14ac:dyDescent="0.25">
      <c r="A155"/>
      <c r="B155"/>
      <c r="C155"/>
      <c r="D155"/>
      <c r="E155" s="20">
        <f>IF(ATAN2(E147,SQRT(E143^2+E145^2))*180/PI()&lt;0,360+ATAN2(E147,SQRT(E143^2+E145^2))*180/PI(),ATAN2(E147,SQRT(E143^2+E145^2))*180/PI())</f>
        <v>97.0033037286899</v>
      </c>
      <c r="F155" s="20">
        <f>IF(ATAN2(F147,SQRT(F143^2+F145^2))*180/PI()&lt;0,360+ATAN2(F147,SQRT(F143^2+F145^2))*180/PI(),ATAN2(F147,SQRT(F143^2+F145^2))*180/PI())</f>
        <v>86.921674523636028</v>
      </c>
      <c r="G155" s="20">
        <f t="shared" ref="G155:L155" si="42">IF(ATAN2(G147,SQRT(G143^2+G145^2))*180/PI()&lt;0,360+ATAN2(G147,SQRT(G143^2+G145^2))*180/PI(),ATAN2(G147,SQRT(G143^2+G145^2))*180/PI())</f>
        <v>90.001413641847734</v>
      </c>
      <c r="H155" s="20">
        <f t="shared" si="42"/>
        <v>89.690723426925956</v>
      </c>
      <c r="I155" s="20">
        <f t="shared" si="42"/>
        <v>89.316415546700455</v>
      </c>
      <c r="J155" s="20">
        <f t="shared" si="42"/>
        <v>89.506590489313922</v>
      </c>
      <c r="K155" s="20">
        <f t="shared" si="42"/>
        <v>90.522219372278059</v>
      </c>
      <c r="L155" s="20">
        <f t="shared" si="42"/>
        <v>90.989583462217212</v>
      </c>
      <c r="M155"/>
      <c r="N155"/>
      <c r="O155" t="s">
        <v>238</v>
      </c>
      <c r="P155"/>
      <c r="Q155"/>
      <c r="R155"/>
    </row>
    <row r="156" spans="1:21" x14ac:dyDescent="0.25">
      <c r="A156"/>
      <c r="B156" s="18" t="s">
        <v>239</v>
      </c>
      <c r="C156" s="18"/>
      <c r="D156" s="18"/>
      <c r="E156" s="169">
        <f>IF(E155&gt;E115,90-E155,E155)</f>
        <v>-7.0033037286899003</v>
      </c>
      <c r="F156" s="169">
        <f t="shared" ref="F156:K156" si="43">IF(F155&gt;F115,90-F155,F155)</f>
        <v>3.0783254763639718</v>
      </c>
      <c r="G156" s="169">
        <f t="shared" si="43"/>
        <v>-1.4136418477335155E-3</v>
      </c>
      <c r="H156" s="169">
        <f t="shared" si="43"/>
        <v>0.30927657307404388</v>
      </c>
      <c r="I156" s="169">
        <f t="shared" si="43"/>
        <v>0.6835844532995452</v>
      </c>
      <c r="J156" s="169">
        <f t="shared" si="43"/>
        <v>0.49340951068607808</v>
      </c>
      <c r="K156" s="169">
        <f t="shared" si="43"/>
        <v>-0.52221937227805881</v>
      </c>
      <c r="L156" s="169">
        <f>IF(L155&gt;L115,90-L155,L155)</f>
        <v>-0.98958346221721172</v>
      </c>
      <c r="M156"/>
      <c r="N156"/>
      <c r="O156" t="s">
        <v>240</v>
      </c>
      <c r="P156"/>
      <c r="Q156"/>
      <c r="R156"/>
      <c r="S156" s="167"/>
    </row>
    <row r="157" spans="1:21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21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21" x14ac:dyDescent="0.25">
      <c r="A159"/>
      <c r="B159" s="18" t="s">
        <v>241</v>
      </c>
      <c r="C159" s="18"/>
      <c r="D159" s="18"/>
      <c r="E159" s="169">
        <f>SQRT(E143^2+E145^2+E147^2)</f>
        <v>0.411254801731681</v>
      </c>
      <c r="F159" s="169">
        <f t="shared" ref="F159:L159" si="44">SQRT(F143^2+F145^2+F147^2)</f>
        <v>0.72086232192579236</v>
      </c>
      <c r="G159" s="169">
        <f t="shared" si="44"/>
        <v>0.98537280627563373</v>
      </c>
      <c r="H159" s="169">
        <f t="shared" si="44"/>
        <v>1.4934143370065249</v>
      </c>
      <c r="I159" s="169">
        <f t="shared" si="44"/>
        <v>5.3423353759268339</v>
      </c>
      <c r="J159" s="169">
        <f t="shared" si="44"/>
        <v>10.043776343810036</v>
      </c>
      <c r="K159" s="169">
        <f t="shared" si="44"/>
        <v>19.861969925706454</v>
      </c>
      <c r="L159" s="169">
        <f t="shared" si="44"/>
        <v>29.934804300723556</v>
      </c>
      <c r="M159"/>
      <c r="N159" t="s">
        <v>242</v>
      </c>
      <c r="O159"/>
      <c r="P159"/>
      <c r="Q159"/>
      <c r="R159"/>
    </row>
    <row r="160" spans="1:21" x14ac:dyDescent="0.25">
      <c r="A160"/>
      <c r="B160"/>
      <c r="C160"/>
      <c r="D160"/>
      <c r="E160" s="20">
        <f>$J56</f>
        <v>0.411254801731681</v>
      </c>
      <c r="F160" s="20">
        <f>$J57</f>
        <v>0.72086232192579236</v>
      </c>
      <c r="G160" s="20">
        <f>$J58</f>
        <v>0.98537280627563373</v>
      </c>
      <c r="H160" s="20">
        <f>$J59</f>
        <v>1.4934143370065249</v>
      </c>
      <c r="I160" s="20">
        <f>$J60</f>
        <v>5.3423353759268339</v>
      </c>
      <c r="J160" s="20">
        <f>$J61</f>
        <v>10.043776343810036</v>
      </c>
      <c r="K160" s="20">
        <f>$J62</f>
        <v>19.861969925706454</v>
      </c>
      <c r="L160" s="20">
        <f>$J63</f>
        <v>29.934804300723556</v>
      </c>
      <c r="M160"/>
      <c r="N160" t="s">
        <v>243</v>
      </c>
      <c r="O160"/>
      <c r="P160"/>
      <c r="Q160"/>
      <c r="R160"/>
    </row>
    <row r="161" spans="1:18" ht="15.75" x14ac:dyDescent="0.25">
      <c r="A161"/>
      <c r="B161" s="175" t="s">
        <v>375</v>
      </c>
      <c r="C161"/>
      <c r="D161"/>
      <c r="E161"/>
      <c r="F161"/>
      <c r="G161"/>
      <c r="H161"/>
      <c r="I161"/>
      <c r="J161"/>
      <c r="K161"/>
      <c r="L161" s="167"/>
      <c r="M161"/>
      <c r="N161"/>
      <c r="O161"/>
      <c r="P161"/>
      <c r="Q161"/>
      <c r="R161"/>
    </row>
    <row r="162" spans="1:18" x14ac:dyDescent="0.25">
      <c r="A162"/>
      <c r="B162" t="s">
        <v>376</v>
      </c>
      <c r="C162"/>
      <c r="D162"/>
      <c r="E162"/>
      <c r="F162"/>
      <c r="G162"/>
      <c r="H162"/>
      <c r="I162"/>
      <c r="J162"/>
      <c r="K162"/>
      <c r="L162" s="167"/>
      <c r="M162"/>
      <c r="N162"/>
      <c r="O162"/>
      <c r="P162"/>
      <c r="Q162"/>
      <c r="R162"/>
    </row>
    <row r="163" spans="1:18" ht="21" x14ac:dyDescent="0.35">
      <c r="A163"/>
      <c r="B163" s="207" t="s">
        <v>55</v>
      </c>
      <c r="C163"/>
      <c r="D163"/>
      <c r="E163"/>
      <c r="F163"/>
      <c r="G163"/>
      <c r="H163" s="94"/>
      <c r="I163"/>
      <c r="J163"/>
      <c r="K163"/>
      <c r="L163" s="167"/>
      <c r="M163"/>
      <c r="N163"/>
      <c r="O163"/>
      <c r="P163"/>
      <c r="Q163"/>
      <c r="R163"/>
    </row>
    <row r="164" spans="1:18" ht="18" x14ac:dyDescent="0.35">
      <c r="A164"/>
      <c r="B164"/>
      <c r="C164" t="s">
        <v>377</v>
      </c>
      <c r="D164"/>
      <c r="E164" s="93">
        <f>Tabelle5!$E$56</f>
        <v>0.6671408569448718</v>
      </c>
      <c r="F164" s="93">
        <f>Tabelle5!$E$56</f>
        <v>0.6671408569448718</v>
      </c>
      <c r="G164" s="93">
        <f>Tabelle5!$E$56</f>
        <v>0.6671408569448718</v>
      </c>
      <c r="H164" s="93">
        <f>Tabelle5!$E$56</f>
        <v>0.6671408569448718</v>
      </c>
      <c r="I164" s="93">
        <f>Tabelle5!$E$56</f>
        <v>0.6671408569448718</v>
      </c>
      <c r="J164" s="93">
        <f>Tabelle5!$E$56</f>
        <v>0.6671408569448718</v>
      </c>
      <c r="K164" s="93">
        <f>Tabelle5!$E$56</f>
        <v>0.6671408569448718</v>
      </c>
      <c r="L164" s="93">
        <f>Tabelle5!$E$56</f>
        <v>0.6671408569448718</v>
      </c>
      <c r="M164"/>
      <c r="N164" t="s">
        <v>404</v>
      </c>
      <c r="O164"/>
      <c r="P164"/>
      <c r="Q164"/>
      <c r="R164"/>
    </row>
    <row r="165" spans="1:18" x14ac:dyDescent="0.25">
      <c r="A165"/>
      <c r="B165"/>
      <c r="C165"/>
      <c r="D165"/>
      <c r="E165" s="93"/>
      <c r="F165" s="93"/>
      <c r="G165" s="93"/>
      <c r="H165" s="93"/>
      <c r="I165" s="93"/>
      <c r="J165" s="93"/>
      <c r="K165" s="93"/>
      <c r="L165" s="93"/>
      <c r="M165"/>
      <c r="N165"/>
      <c r="O165"/>
      <c r="P165"/>
      <c r="Q165"/>
      <c r="R165"/>
    </row>
    <row r="166" spans="1:18" ht="18" x14ac:dyDescent="0.35">
      <c r="A166"/>
      <c r="B166"/>
      <c r="C166" t="s">
        <v>378</v>
      </c>
      <c r="D166"/>
      <c r="E166" s="93">
        <f>Tabelle5!$E$58</f>
        <v>-0.72518183121189606</v>
      </c>
      <c r="F166" s="93">
        <f>Tabelle5!$E$58</f>
        <v>-0.72518183121189606</v>
      </c>
      <c r="G166" s="93">
        <f>Tabelle5!$E$58</f>
        <v>-0.72518183121189606</v>
      </c>
      <c r="H166" s="93">
        <f>Tabelle5!$E$58</f>
        <v>-0.72518183121189606</v>
      </c>
      <c r="I166" s="93">
        <f>Tabelle5!$E$58</f>
        <v>-0.72518183121189606</v>
      </c>
      <c r="J166" s="93">
        <f>Tabelle5!$E$58</f>
        <v>-0.72518183121189606</v>
      </c>
      <c r="K166" s="93">
        <f>Tabelle5!$E$58</f>
        <v>-0.72518183121189606</v>
      </c>
      <c r="L166" s="93">
        <f>Tabelle5!$E$58</f>
        <v>-0.72518183121189606</v>
      </c>
      <c r="M166"/>
      <c r="N166" t="s">
        <v>404</v>
      </c>
      <c r="O166"/>
      <c r="P166"/>
      <c r="Q166"/>
      <c r="R166"/>
    </row>
    <row r="167" spans="1:18" x14ac:dyDescent="0.25">
      <c r="A167"/>
      <c r="B167"/>
      <c r="C167"/>
      <c r="D167"/>
      <c r="E167" s="93"/>
      <c r="F167" s="93"/>
      <c r="G167" s="93"/>
      <c r="H167" s="93"/>
      <c r="I167" s="93"/>
      <c r="J167" s="93"/>
      <c r="K167" s="93"/>
      <c r="L167" s="93"/>
      <c r="M167"/>
      <c r="N167"/>
      <c r="O167"/>
      <c r="P167"/>
      <c r="Q167"/>
      <c r="R167"/>
    </row>
    <row r="168" spans="1:18" ht="18" x14ac:dyDescent="0.35">
      <c r="A168"/>
      <c r="B168"/>
      <c r="C168" t="s">
        <v>379</v>
      </c>
      <c r="D168"/>
      <c r="E168" s="93">
        <f>Tabelle5!$E$60</f>
        <v>0</v>
      </c>
      <c r="F168" s="93">
        <f>Tabelle5!$E$60</f>
        <v>0</v>
      </c>
      <c r="G168" s="93">
        <f>Tabelle5!$E$60</f>
        <v>0</v>
      </c>
      <c r="H168" s="93">
        <f>Tabelle5!$E$60</f>
        <v>0</v>
      </c>
      <c r="I168" s="93">
        <f>Tabelle5!$E$60</f>
        <v>0</v>
      </c>
      <c r="J168" s="93">
        <f>Tabelle5!$E$60</f>
        <v>0</v>
      </c>
      <c r="K168" s="93">
        <f>Tabelle5!$E$60</f>
        <v>0</v>
      </c>
      <c r="L168" s="93">
        <f>Tabelle5!$E$60</f>
        <v>0</v>
      </c>
      <c r="M168"/>
      <c r="N168" t="s">
        <v>404</v>
      </c>
      <c r="O168"/>
      <c r="P168"/>
      <c r="Q168"/>
      <c r="R168"/>
    </row>
    <row r="169" spans="1:18" x14ac:dyDescent="0.25">
      <c r="A169"/>
      <c r="B169"/>
      <c r="C169"/>
      <c r="D169"/>
      <c r="E169"/>
      <c r="F169"/>
      <c r="G169"/>
      <c r="H169"/>
      <c r="I169"/>
      <c r="J169"/>
      <c r="K169"/>
      <c r="L169" s="167"/>
      <c r="M169"/>
      <c r="N169"/>
      <c r="O169"/>
      <c r="P169"/>
      <c r="Q169"/>
      <c r="R169"/>
    </row>
    <row r="170" spans="1:18" x14ac:dyDescent="0.25">
      <c r="A170"/>
      <c r="B170"/>
      <c r="C170" t="s">
        <v>180</v>
      </c>
      <c r="D170"/>
      <c r="E170">
        <f>SQRT(E164^2+E166^2+E168^2)</f>
        <v>0.98537587311897223</v>
      </c>
      <c r="F170">
        <f t="shared" ref="F170:L170" si="45">SQRT(F164^2+F166^2+F168^2)</f>
        <v>0.98537587311897223</v>
      </c>
      <c r="G170">
        <f t="shared" si="45"/>
        <v>0.98537587311897223</v>
      </c>
      <c r="H170">
        <f t="shared" si="45"/>
        <v>0.98537587311897223</v>
      </c>
      <c r="I170">
        <f t="shared" si="45"/>
        <v>0.98537587311897223</v>
      </c>
      <c r="J170">
        <f t="shared" si="45"/>
        <v>0.98537587311897223</v>
      </c>
      <c r="K170">
        <f t="shared" si="45"/>
        <v>0.98537587311897223</v>
      </c>
      <c r="L170">
        <f t="shared" si="45"/>
        <v>0.98537587311897223</v>
      </c>
      <c r="M170"/>
      <c r="N170"/>
      <c r="O170"/>
      <c r="P170"/>
      <c r="Q170"/>
      <c r="R170"/>
    </row>
    <row r="171" spans="1:18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ht="15.75" x14ac:dyDescent="0.25">
      <c r="A172"/>
      <c r="B172" s="175" t="s">
        <v>380</v>
      </c>
      <c r="C172"/>
      <c r="D172"/>
      <c r="E172"/>
      <c r="F172"/>
      <c r="G172"/>
      <c r="H172"/>
      <c r="I172"/>
      <c r="J172"/>
      <c r="K172"/>
      <c r="L172" s="162"/>
      <c r="M172"/>
      <c r="N172"/>
      <c r="O172"/>
      <c r="P172"/>
      <c r="Q172"/>
      <c r="R172"/>
    </row>
    <row r="173" spans="1:18" ht="15.75" x14ac:dyDescent="0.25">
      <c r="A173"/>
      <c r="B173"/>
      <c r="C173"/>
      <c r="D173"/>
      <c r="E173" s="3" t="s">
        <v>156</v>
      </c>
      <c r="F173" s="3" t="s">
        <v>157</v>
      </c>
      <c r="G173" s="3" t="s">
        <v>158</v>
      </c>
      <c r="H173" s="3" t="s">
        <v>159</v>
      </c>
      <c r="I173" s="3" t="s">
        <v>160</v>
      </c>
      <c r="J173" s="3" t="s">
        <v>161</v>
      </c>
      <c r="K173" s="3" t="s">
        <v>162</v>
      </c>
      <c r="L173" s="161" t="s">
        <v>163</v>
      </c>
      <c r="M173"/>
      <c r="N173"/>
      <c r="O173"/>
      <c r="P173"/>
      <c r="Q173"/>
      <c r="R173"/>
    </row>
    <row r="174" spans="1:18" ht="18" x14ac:dyDescent="0.35">
      <c r="A174"/>
      <c r="B174"/>
      <c r="C174" t="s">
        <v>381</v>
      </c>
      <c r="D174"/>
      <c r="E174" s="28">
        <f t="shared" ref="E174:L174" si="46">E164+E143</f>
        <v>0.97453993765266467</v>
      </c>
      <c r="F174" s="28">
        <f t="shared" si="46"/>
        <v>-3.802690884305171E-2</v>
      </c>
      <c r="G174" s="28">
        <f t="shared" si="46"/>
        <v>3.4050171927205719E-3</v>
      </c>
      <c r="H174" s="28">
        <f t="shared" si="46"/>
        <v>1.432968806173792</v>
      </c>
      <c r="I174" s="28">
        <f t="shared" si="46"/>
        <v>-1.2438970041690438</v>
      </c>
      <c r="J174" s="28">
        <f t="shared" si="46"/>
        <v>2.7868521038051828</v>
      </c>
      <c r="K174" s="28">
        <f t="shared" si="46"/>
        <v>17.615746508090687</v>
      </c>
      <c r="L174" s="28">
        <f t="shared" si="46"/>
        <v>29.672719768660624</v>
      </c>
      <c r="M174"/>
      <c r="N174" t="s">
        <v>382</v>
      </c>
      <c r="O174"/>
      <c r="P174"/>
      <c r="Q174"/>
      <c r="R174"/>
    </row>
    <row r="175" spans="1:18" x14ac:dyDescent="0.25">
      <c r="A175"/>
      <c r="B175"/>
      <c r="C175"/>
      <c r="D175"/>
      <c r="E175" s="28"/>
      <c r="F175"/>
      <c r="G175"/>
      <c r="H175"/>
      <c r="I175"/>
      <c r="J175"/>
      <c r="K175"/>
      <c r="L175" s="167"/>
      <c r="M175"/>
      <c r="N175"/>
      <c r="O175"/>
      <c r="P175"/>
      <c r="Q175"/>
      <c r="R175"/>
    </row>
    <row r="176" spans="1:18" ht="18" x14ac:dyDescent="0.35">
      <c r="A176"/>
      <c r="B176"/>
      <c r="C176" t="s">
        <v>383</v>
      </c>
      <c r="D176"/>
      <c r="E176" s="28">
        <f t="shared" ref="E176:L176" si="47">E166+E145</f>
        <v>-0.99373724038112132</v>
      </c>
      <c r="F176" s="28">
        <f t="shared" si="47"/>
        <v>-0.86968913779398804</v>
      </c>
      <c r="G176" s="28">
        <f t="shared" si="47"/>
        <v>3.1136457649694194E-3</v>
      </c>
      <c r="H176" s="28">
        <f t="shared" si="47"/>
        <v>0.55689810012710628</v>
      </c>
      <c r="I176" s="28">
        <f t="shared" si="47"/>
        <v>-5.7136103593238134</v>
      </c>
      <c r="J176" s="28">
        <f t="shared" si="47"/>
        <v>-10.542349782680514</v>
      </c>
      <c r="K176" s="28">
        <f t="shared" si="47"/>
        <v>9.6290368519662142</v>
      </c>
      <c r="L176" s="28">
        <f t="shared" si="47"/>
        <v>-8.1077029995081098</v>
      </c>
      <c r="M176"/>
      <c r="N176" t="s">
        <v>384</v>
      </c>
      <c r="O176"/>
      <c r="P176"/>
      <c r="Q176"/>
      <c r="R176"/>
    </row>
    <row r="177" spans="1:18" x14ac:dyDescent="0.25">
      <c r="A177"/>
      <c r="B177"/>
      <c r="C177"/>
      <c r="D177"/>
      <c r="E177" s="28"/>
      <c r="F177"/>
      <c r="G177" s="28"/>
      <c r="H177"/>
      <c r="I177" s="28"/>
      <c r="J177"/>
      <c r="K177" s="28"/>
      <c r="L177"/>
      <c r="M177"/>
      <c r="N177"/>
      <c r="O177"/>
      <c r="P177"/>
      <c r="Q177"/>
      <c r="R177"/>
    </row>
    <row r="178" spans="1:18" ht="18" x14ac:dyDescent="0.35">
      <c r="A178"/>
      <c r="B178"/>
      <c r="C178" t="s">
        <v>385</v>
      </c>
      <c r="D178"/>
      <c r="E178" s="28">
        <f t="shared" ref="E178:L178" si="48">E168+E147</f>
        <v>-5.0142889160060537E-2</v>
      </c>
      <c r="F178" s="28">
        <f t="shared" si="48"/>
        <v>3.8711078650720501E-2</v>
      </c>
      <c r="G178" s="28">
        <f t="shared" si="48"/>
        <v>-2.4311812253401161E-5</v>
      </c>
      <c r="H178" s="28">
        <f t="shared" si="48"/>
        <v>8.0612538878114467E-3</v>
      </c>
      <c r="I178" s="28">
        <f t="shared" si="48"/>
        <v>6.3736819716901316E-2</v>
      </c>
      <c r="J178" s="28">
        <f t="shared" si="48"/>
        <v>8.6492121430012572E-2</v>
      </c>
      <c r="K178" s="28">
        <f t="shared" si="48"/>
        <v>-0.18102837496115001</v>
      </c>
      <c r="L178" s="28">
        <f t="shared" si="48"/>
        <v>-0.51699295788838084</v>
      </c>
      <c r="M178"/>
      <c r="N178" t="s">
        <v>386</v>
      </c>
      <c r="O178"/>
      <c r="P178"/>
      <c r="Q178"/>
      <c r="R178"/>
    </row>
    <row r="179" spans="1:18" x14ac:dyDescent="0.25">
      <c r="A179"/>
      <c r="B179"/>
      <c r="C179"/>
      <c r="D179"/>
      <c r="E179" s="28"/>
      <c r="F179"/>
      <c r="G179"/>
      <c r="H179"/>
      <c r="I179"/>
      <c r="J179"/>
      <c r="K179"/>
      <c r="L179" s="167"/>
      <c r="M179"/>
      <c r="N179"/>
      <c r="O179"/>
      <c r="P179"/>
      <c r="Q179"/>
      <c r="R179"/>
    </row>
    <row r="180" spans="1:18" ht="15.75" x14ac:dyDescent="0.25">
      <c r="A180"/>
      <c r="B180"/>
      <c r="C180"/>
      <c r="D180"/>
      <c r="E180" s="3" t="s">
        <v>156</v>
      </c>
      <c r="F180" s="3" t="s">
        <v>157</v>
      </c>
      <c r="G180" s="3" t="s">
        <v>158</v>
      </c>
      <c r="H180" s="3" t="s">
        <v>159</v>
      </c>
      <c r="I180" s="3" t="s">
        <v>160</v>
      </c>
      <c r="J180" s="3" t="s">
        <v>161</v>
      </c>
      <c r="K180" s="3" t="s">
        <v>162</v>
      </c>
      <c r="L180" s="161" t="s">
        <v>163</v>
      </c>
      <c r="M180"/>
      <c r="N180"/>
      <c r="O180"/>
      <c r="P180"/>
      <c r="Q180"/>
      <c r="R180"/>
    </row>
    <row r="181" spans="1:18" x14ac:dyDescent="0.25">
      <c r="A181"/>
      <c r="B181"/>
      <c r="C181" t="s">
        <v>180</v>
      </c>
      <c r="D181"/>
      <c r="E181" s="169">
        <f>SQRT(E174^2+E176^2+E178^2)</f>
        <v>1.3927512708066951</v>
      </c>
      <c r="F181" s="169">
        <f>SQRT(F174^2+F176^2+F178^2)</f>
        <v>0.87138039328602657</v>
      </c>
      <c r="G181" s="169">
        <f t="shared" ref="G181:K181" si="49">SQRT(G174^2+G176^2+G178^2)</f>
        <v>4.6140571189192845E-3</v>
      </c>
      <c r="H181" s="169">
        <f t="shared" si="49"/>
        <v>1.5374004283876621</v>
      </c>
      <c r="I181" s="169">
        <f t="shared" si="49"/>
        <v>5.8477932143109115</v>
      </c>
      <c r="J181" s="169">
        <f t="shared" si="49"/>
        <v>10.904822991499529</v>
      </c>
      <c r="K181" s="169">
        <f t="shared" si="49"/>
        <v>20.076494888460331</v>
      </c>
      <c r="L181" s="169">
        <f>SQRT(L174^2+L176^2+L178^2)</f>
        <v>30.764792021338319</v>
      </c>
      <c r="M181"/>
      <c r="N181" t="s">
        <v>242</v>
      </c>
      <c r="O181"/>
      <c r="P181"/>
      <c r="Q181"/>
      <c r="R181"/>
    </row>
    <row r="182" spans="1:18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ht="18" x14ac:dyDescent="0.35">
      <c r="A183"/>
      <c r="B183"/>
      <c r="C183" t="s">
        <v>387</v>
      </c>
      <c r="D183"/>
      <c r="E183" s="77">
        <f>ATAN2(E174,E176)*180/PI()</f>
        <v>-45.558808261766792</v>
      </c>
      <c r="F183" s="77">
        <f>ATAN2(F174,F176)*180/PI()</f>
        <v>-92.503646853909089</v>
      </c>
      <c r="G183" s="77">
        <f t="shared" ref="G183:L183" si="50">ATAN2(G174,G176)*180/PI()</f>
        <v>42.440694735233492</v>
      </c>
      <c r="H183" s="77">
        <f t="shared" si="50"/>
        <v>21.237738995448233</v>
      </c>
      <c r="I183" s="77">
        <f t="shared" si="50"/>
        <v>-102.28208299632607</v>
      </c>
      <c r="J183" s="77">
        <f t="shared" si="50"/>
        <v>-75.192668817589279</v>
      </c>
      <c r="K183" s="77">
        <f>ATAN2(K174,K176)*180/PI()</f>
        <v>28.661691854825616</v>
      </c>
      <c r="L183" s="77">
        <f t="shared" si="50"/>
        <v>-15.282330969996767</v>
      </c>
      <c r="M183"/>
      <c r="N183" t="s">
        <v>317</v>
      </c>
      <c r="O183"/>
      <c r="P183"/>
      <c r="Q183"/>
      <c r="R183"/>
    </row>
    <row r="184" spans="1:18" x14ac:dyDescent="0.25">
      <c r="A184"/>
      <c r="B184"/>
      <c r="C184"/>
      <c r="D184"/>
      <c r="E184" s="169">
        <f>IF(E183&lt;0,360+E183,E183)</f>
        <v>314.44119173823321</v>
      </c>
      <c r="F184" s="169">
        <f>IF(F183&lt;0,360+F183,F183)</f>
        <v>267.49635314609088</v>
      </c>
      <c r="G184" s="169">
        <f t="shared" ref="G184:L184" si="51">IF(G183&lt;0,360+G183,G183)</f>
        <v>42.440694735233492</v>
      </c>
      <c r="H184" s="169">
        <f t="shared" si="51"/>
        <v>21.237738995448233</v>
      </c>
      <c r="I184" s="169">
        <f t="shared" si="51"/>
        <v>257.71791700367396</v>
      </c>
      <c r="J184" s="169">
        <f t="shared" si="51"/>
        <v>284.80733118241073</v>
      </c>
      <c r="K184" s="169">
        <f t="shared" si="51"/>
        <v>28.661691854825616</v>
      </c>
      <c r="L184" s="169">
        <f t="shared" si="51"/>
        <v>344.71766903000321</v>
      </c>
      <c r="M184"/>
      <c r="N184" t="s">
        <v>388</v>
      </c>
      <c r="O184"/>
      <c r="P184"/>
      <c r="Q184"/>
      <c r="R184"/>
    </row>
    <row r="185" spans="1:18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ht="18" x14ac:dyDescent="0.35">
      <c r="A186"/>
      <c r="B186"/>
      <c r="C186" t="s">
        <v>389</v>
      </c>
      <c r="D186"/>
      <c r="E186" s="20">
        <f>ATAN2(E178,SQRT(E174^2+E176^2))*180/PI()</f>
        <v>92.063252069440452</v>
      </c>
      <c r="F186" s="20">
        <f>ATAN2(F178,SQRT(F174^2+F176^2))*180/PI()</f>
        <v>87.453796695550722</v>
      </c>
      <c r="G186" s="20">
        <f t="shared" ref="G186:K186" si="52">ATAN2(G178,SQRT(G174^2+G176^2))*180/PI()</f>
        <v>90.301897146941599</v>
      </c>
      <c r="H186" s="20">
        <f t="shared" si="52"/>
        <v>89.699572126240525</v>
      </c>
      <c r="I186" s="20">
        <f t="shared" si="52"/>
        <v>89.375504067472406</v>
      </c>
      <c r="J186" s="20">
        <f t="shared" si="52"/>
        <v>89.545551038859927</v>
      </c>
      <c r="K186" s="20">
        <f t="shared" si="52"/>
        <v>90.516639108154934</v>
      </c>
      <c r="L186" s="20">
        <f>ATAN2(L178,SQRT(L174^2+L176^2))*180/PI()</f>
        <v>90.962883443407136</v>
      </c>
      <c r="M186"/>
      <c r="N186" t="s">
        <v>236</v>
      </c>
      <c r="O186"/>
      <c r="P186"/>
      <c r="Q186"/>
      <c r="R186"/>
    </row>
    <row r="187" spans="1:18" x14ac:dyDescent="0.25">
      <c r="A187"/>
      <c r="B187"/>
      <c r="C187"/>
      <c r="D187"/>
      <c r="E187" s="169">
        <f t="shared" ref="E187:L187" si="53">IF(E186&gt;E115,90-E186,E186)</f>
        <v>-2.0632520694404519</v>
      </c>
      <c r="F187" s="169">
        <f t="shared" si="53"/>
        <v>2.5462033044492784</v>
      </c>
      <c r="G187" s="169">
        <f t="shared" si="53"/>
        <v>-0.30189714694159875</v>
      </c>
      <c r="H187" s="169">
        <f t="shared" si="53"/>
        <v>0.30042787375947455</v>
      </c>
      <c r="I187" s="169">
        <f t="shared" si="53"/>
        <v>0.62449593252759428</v>
      </c>
      <c r="J187" s="169">
        <f t="shared" si="53"/>
        <v>0.45444896114007349</v>
      </c>
      <c r="K187" s="169">
        <f t="shared" si="53"/>
        <v>-0.51663910815493352</v>
      </c>
      <c r="L187" s="169">
        <f t="shared" si="53"/>
        <v>-0.9628834434071365</v>
      </c>
      <c r="M187"/>
      <c r="N187" t="s">
        <v>390</v>
      </c>
      <c r="O187"/>
      <c r="P187"/>
      <c r="Q187"/>
      <c r="R187"/>
    </row>
    <row r="188" spans="1:18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x14ac:dyDescent="0.25">
      <c r="A189"/>
      <c r="B189"/>
      <c r="C189"/>
      <c r="D189"/>
      <c r="E189"/>
      <c r="F189"/>
      <c r="G189"/>
      <c r="H189"/>
      <c r="I189"/>
      <c r="J189"/>
      <c r="K189"/>
      <c r="L189" s="167"/>
      <c r="M189"/>
      <c r="N189"/>
      <c r="O189"/>
      <c r="P189"/>
      <c r="Q189"/>
      <c r="R189"/>
    </row>
    <row r="190" spans="1:18" ht="15.75" x14ac:dyDescent="0.25">
      <c r="A190"/>
      <c r="B190" s="175" t="s">
        <v>391</v>
      </c>
      <c r="C190"/>
      <c r="D190"/>
      <c r="E190" s="3" t="s">
        <v>156</v>
      </c>
      <c r="F190" s="3" t="s">
        <v>157</v>
      </c>
      <c r="G190" s="3" t="s">
        <v>158</v>
      </c>
      <c r="H190" s="3" t="s">
        <v>159</v>
      </c>
      <c r="I190" s="3" t="s">
        <v>160</v>
      </c>
      <c r="J190" s="3" t="s">
        <v>161</v>
      </c>
      <c r="K190" s="3" t="s">
        <v>162</v>
      </c>
      <c r="L190" s="161" t="s">
        <v>163</v>
      </c>
      <c r="M190"/>
      <c r="N190"/>
      <c r="O190"/>
      <c r="P190"/>
      <c r="Q190"/>
      <c r="R190"/>
    </row>
    <row r="191" spans="1:18" x14ac:dyDescent="0.25">
      <c r="A191"/>
      <c r="B191"/>
      <c r="C191" t="s">
        <v>392</v>
      </c>
      <c r="D191"/>
      <c r="E191" s="15">
        <v>23.4406</v>
      </c>
      <c r="F191" s="15">
        <v>23.4406</v>
      </c>
      <c r="G191" s="15">
        <v>23.4406</v>
      </c>
      <c r="H191" s="15">
        <v>23.4406</v>
      </c>
      <c r="I191" s="15">
        <v>23.4406</v>
      </c>
      <c r="J191" s="15">
        <v>23.4406</v>
      </c>
      <c r="K191" s="15">
        <v>23.4406</v>
      </c>
      <c r="L191" s="15">
        <v>23.4406</v>
      </c>
      <c r="M191"/>
      <c r="N191"/>
      <c r="O191"/>
      <c r="P191"/>
      <c r="Q191"/>
      <c r="R191"/>
    </row>
    <row r="192" spans="1:18" x14ac:dyDescent="0.25">
      <c r="A192"/>
      <c r="B192"/>
      <c r="C192"/>
      <c r="D192"/>
      <c r="E192"/>
      <c r="F192"/>
      <c r="G192"/>
      <c r="H192"/>
      <c r="I192"/>
      <c r="J192"/>
      <c r="K192"/>
      <c r="L192" s="167"/>
      <c r="M192"/>
      <c r="N192"/>
      <c r="O192"/>
      <c r="P192"/>
      <c r="Q192"/>
      <c r="R192"/>
    </row>
    <row r="193" spans="1:19" ht="18" x14ac:dyDescent="0.35">
      <c r="A193"/>
      <c r="B193"/>
      <c r="C193" t="s">
        <v>393</v>
      </c>
      <c r="D193"/>
      <c r="E193" s="28">
        <f>E174</f>
        <v>0.97453993765266467</v>
      </c>
      <c r="F193" s="28">
        <f>F174</f>
        <v>-3.802690884305171E-2</v>
      </c>
      <c r="G193" s="28">
        <f t="shared" ref="G193:L193" si="54">G174</f>
        <v>3.4050171927205719E-3</v>
      </c>
      <c r="H193" s="28">
        <f t="shared" si="54"/>
        <v>1.432968806173792</v>
      </c>
      <c r="I193" s="28">
        <f t="shared" si="54"/>
        <v>-1.2438970041690438</v>
      </c>
      <c r="J193" s="28">
        <f t="shared" si="54"/>
        <v>2.7868521038051828</v>
      </c>
      <c r="K193" s="28">
        <f t="shared" si="54"/>
        <v>17.615746508090687</v>
      </c>
      <c r="L193" s="28">
        <f t="shared" si="54"/>
        <v>29.672719768660624</v>
      </c>
      <c r="M193"/>
      <c r="N193" t="s">
        <v>394</v>
      </c>
      <c r="O193"/>
      <c r="P193"/>
      <c r="Q193"/>
      <c r="R193"/>
      <c r="S193" s="167"/>
    </row>
    <row r="194" spans="1:19" ht="15.7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 s="166"/>
    </row>
    <row r="195" spans="1:19" ht="18" x14ac:dyDescent="0.35">
      <c r="A195"/>
      <c r="B195"/>
      <c r="C195" t="s">
        <v>395</v>
      </c>
      <c r="D195"/>
      <c r="E195" s="28">
        <f>E176*COS(RADIANS(E191))-E178*SIN(RADIANS(E191))</f>
        <v>-0.89178031534559132</v>
      </c>
      <c r="F195" s="28">
        <f>F176*COS(RADIANS(F191))-F178*SIN(RADIANS(F191))</f>
        <v>-0.81331547456246522</v>
      </c>
      <c r="G195" s="28">
        <f t="shared" ref="G195:K195" si="55">G176*COS(RADIANS(G191))-G178*SIN(RADIANS(G191))</f>
        <v>2.8663570356787719E-3</v>
      </c>
      <c r="H195" s="28">
        <f t="shared" si="55"/>
        <v>0.50773220500446237</v>
      </c>
      <c r="I195" s="28">
        <f t="shared" si="55"/>
        <v>-5.2674374802023545</v>
      </c>
      <c r="J195" s="28">
        <f t="shared" si="55"/>
        <v>-9.7067274198136406</v>
      </c>
      <c r="K195" s="28">
        <f t="shared" si="55"/>
        <v>8.9063938317806706</v>
      </c>
      <c r="L195" s="28">
        <f>L176*COS(RADIANS(L191))-L178*SIN(RADIANS(L191))</f>
        <v>-7.2329395658804696</v>
      </c>
      <c r="M195"/>
      <c r="N195" t="s">
        <v>396</v>
      </c>
      <c r="O195"/>
      <c r="P195"/>
      <c r="Q195"/>
      <c r="R195"/>
      <c r="S195" s="167"/>
    </row>
    <row r="196" spans="1:19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 s="167"/>
    </row>
    <row r="197" spans="1:19" ht="18" x14ac:dyDescent="0.35">
      <c r="A197"/>
      <c r="B197"/>
      <c r="C197" t="s">
        <v>397</v>
      </c>
      <c r="D197"/>
      <c r="E197" s="28">
        <f>E176*SIN(RADIANS(E191))+E178*COS(RADIANS(E191))</f>
        <v>-0.44131154688691565</v>
      </c>
      <c r="F197" s="28">
        <f t="shared" ref="F197:K197" si="56">F176*SIN(RADIANS(F191))+F178*COS(RADIANS(F191))</f>
        <v>-0.31044433131301447</v>
      </c>
      <c r="G197" s="28">
        <f t="shared" si="56"/>
        <v>1.2162969859133288E-3</v>
      </c>
      <c r="H197" s="28">
        <f t="shared" si="56"/>
        <v>0.22892899716010384</v>
      </c>
      <c r="I197" s="28">
        <f t="shared" si="56"/>
        <v>-2.2143866221867152</v>
      </c>
      <c r="J197" s="28">
        <f t="shared" si="56"/>
        <v>-4.1143726891096479</v>
      </c>
      <c r="K197" s="28">
        <f t="shared" si="56"/>
        <v>3.6643240689496497</v>
      </c>
      <c r="L197" s="28">
        <f>L176*SIN(RADIANS(L191))+L178*COS(RADIANS(L191))</f>
        <v>-3.6995560386429913</v>
      </c>
      <c r="M197"/>
      <c r="N197" t="s">
        <v>398</v>
      </c>
      <c r="O197"/>
      <c r="P197"/>
      <c r="Q197"/>
      <c r="R197"/>
      <c r="S197" s="167"/>
    </row>
    <row r="198" spans="1:19" ht="15.7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 s="166"/>
    </row>
    <row r="199" spans="1:19" ht="15.75" x14ac:dyDescent="0.25">
      <c r="A199"/>
      <c r="B199" s="175" t="s">
        <v>399</v>
      </c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 s="162"/>
    </row>
    <row r="200" spans="1:19" ht="15.75" x14ac:dyDescent="0.25">
      <c r="A200"/>
      <c r="B200"/>
      <c r="C200"/>
      <c r="D200"/>
      <c r="E200" s="3" t="s">
        <v>156</v>
      </c>
      <c r="F200" s="3" t="s">
        <v>157</v>
      </c>
      <c r="G200" s="3" t="s">
        <v>158</v>
      </c>
      <c r="H200" s="3" t="s">
        <v>159</v>
      </c>
      <c r="I200" s="3" t="s">
        <v>160</v>
      </c>
      <c r="J200" s="3" t="s">
        <v>161</v>
      </c>
      <c r="K200" s="3" t="s">
        <v>162</v>
      </c>
      <c r="L200" s="161" t="s">
        <v>163</v>
      </c>
      <c r="M200"/>
      <c r="N200"/>
      <c r="O200"/>
      <c r="P200"/>
      <c r="Q200"/>
      <c r="R200"/>
      <c r="S200" s="166"/>
    </row>
    <row r="201" spans="1:19" x14ac:dyDescent="0.25">
      <c r="A201"/>
      <c r="B201"/>
      <c r="C201" t="s">
        <v>400</v>
      </c>
      <c r="D201"/>
      <c r="E201" s="54">
        <f>SQRT(E193^2+E195^2+E197^2)</f>
        <v>1.3927512708066951</v>
      </c>
      <c r="F201" s="54">
        <f t="shared" ref="F201:L201" si="57">SQRT(F193^2+F195^2+F197^2)</f>
        <v>0.87138039328602668</v>
      </c>
      <c r="G201" s="54">
        <f t="shared" si="57"/>
        <v>4.6140571189192845E-3</v>
      </c>
      <c r="H201" s="54">
        <f t="shared" si="57"/>
        <v>1.5374004283876621</v>
      </c>
      <c r="I201" s="54">
        <f t="shared" si="57"/>
        <v>5.8477932143109115</v>
      </c>
      <c r="J201" s="54">
        <f t="shared" si="57"/>
        <v>10.904822991499527</v>
      </c>
      <c r="K201" s="54">
        <f t="shared" si="57"/>
        <v>20.076494888460331</v>
      </c>
      <c r="L201" s="54">
        <f t="shared" si="57"/>
        <v>30.764792021338319</v>
      </c>
      <c r="M201"/>
      <c r="N201" t="s">
        <v>242</v>
      </c>
      <c r="O201"/>
      <c r="P201"/>
      <c r="Q201"/>
      <c r="R201"/>
    </row>
    <row r="202" spans="1:19" x14ac:dyDescent="0.25">
      <c r="A202"/>
      <c r="B202"/>
      <c r="C202"/>
      <c r="D202"/>
      <c r="E202" s="54"/>
      <c r="F202" s="40"/>
      <c r="G202" s="40"/>
      <c r="H202" s="40"/>
      <c r="I202" s="40"/>
      <c r="J202" s="40"/>
      <c r="K202" s="40"/>
      <c r="L202" s="40"/>
      <c r="M202"/>
      <c r="N202"/>
      <c r="O202"/>
      <c r="P202"/>
      <c r="Q202"/>
      <c r="R202"/>
    </row>
    <row r="203" spans="1:19" x14ac:dyDescent="0.25">
      <c r="A203"/>
      <c r="B203"/>
      <c r="C203" s="3" t="s">
        <v>401</v>
      </c>
      <c r="D203"/>
      <c r="E203" s="54">
        <f>IF(ATAN2(E193,E195)*180/PI()&lt;0,360+ATAN2(E193,E195)*180/PI(),ATAN2(E193,E195)*180/PI())</f>
        <v>317.53904585838859</v>
      </c>
      <c r="F203" s="54">
        <f t="shared" ref="F203:K203" si="58">IF(ATAN2(F193,F195)*180/PI()&lt;0,360+ATAN2(F193,F195)*180/PI(),ATAN2(F193,F195)*180/PI())</f>
        <v>267.32306112937147</v>
      </c>
      <c r="G203" s="54">
        <f t="shared" si="58"/>
        <v>40.090806196938594</v>
      </c>
      <c r="H203" s="54">
        <f t="shared" si="58"/>
        <v>19.510350150830764</v>
      </c>
      <c r="I203" s="54">
        <f t="shared" si="58"/>
        <v>256.7131091202711</v>
      </c>
      <c r="J203" s="54">
        <f t="shared" si="58"/>
        <v>286.0190487304485</v>
      </c>
      <c r="K203" s="54">
        <f t="shared" si="58"/>
        <v>26.820830336617913</v>
      </c>
      <c r="L203" s="54">
        <f>IF(ATAN2(L193,L195)*180/PI()&lt;0,360+ATAN2(L193,L195)*180/PI(),ATAN2(L193,L195)*180/PI())</f>
        <v>346.30089272696637</v>
      </c>
      <c r="M203"/>
      <c r="N203" t="s">
        <v>317</v>
      </c>
      <c r="O203"/>
      <c r="P203" t="s">
        <v>402</v>
      </c>
      <c r="Q203"/>
      <c r="R203"/>
    </row>
    <row r="204" spans="1:19" x14ac:dyDescent="0.25">
      <c r="A204"/>
      <c r="B204"/>
      <c r="C204"/>
      <c r="D204"/>
      <c r="E204" s="54">
        <f>E203/15</f>
        <v>21.169269723892572</v>
      </c>
      <c r="F204" s="54">
        <f t="shared" ref="F204:L204" si="59">F203/15</f>
        <v>17.821537408624764</v>
      </c>
      <c r="G204" s="54">
        <f t="shared" si="59"/>
        <v>2.6727204131292397</v>
      </c>
      <c r="H204" s="54">
        <f t="shared" si="59"/>
        <v>1.3006900100553842</v>
      </c>
      <c r="I204" s="54">
        <f t="shared" si="59"/>
        <v>17.114207274684741</v>
      </c>
      <c r="J204" s="54">
        <f t="shared" si="59"/>
        <v>19.067936582029901</v>
      </c>
      <c r="K204" s="54">
        <f t="shared" si="59"/>
        <v>1.7880553557745276</v>
      </c>
      <c r="L204" s="54">
        <f t="shared" si="59"/>
        <v>23.086726181797758</v>
      </c>
      <c r="M204"/>
      <c r="N204" t="s">
        <v>403</v>
      </c>
      <c r="O204"/>
      <c r="P204"/>
      <c r="Q204"/>
      <c r="R204"/>
    </row>
    <row r="205" spans="1:19" x14ac:dyDescent="0.25">
      <c r="A205"/>
      <c r="B205"/>
      <c r="C205"/>
      <c r="D205"/>
      <c r="E205" s="208">
        <f t="shared" ref="E205:L205" si="60">E203/15/24</f>
        <v>0.88205290516219048</v>
      </c>
      <c r="F205" s="208">
        <f t="shared" si="60"/>
        <v>0.74256405869269848</v>
      </c>
      <c r="G205" s="208">
        <f t="shared" si="60"/>
        <v>0.11136335054705165</v>
      </c>
      <c r="H205" s="208">
        <f t="shared" si="60"/>
        <v>5.4195417085641011E-2</v>
      </c>
      <c r="I205" s="208">
        <f t="shared" si="60"/>
        <v>0.71309196977853084</v>
      </c>
      <c r="J205" s="208">
        <f t="shared" si="60"/>
        <v>0.79449735758457918</v>
      </c>
      <c r="K205" s="208">
        <f t="shared" si="60"/>
        <v>7.4502306490605311E-2</v>
      </c>
      <c r="L205" s="208">
        <f t="shared" si="60"/>
        <v>0.96194692424157324</v>
      </c>
      <c r="M205"/>
      <c r="N205"/>
      <c r="O205"/>
      <c r="P205"/>
      <c r="Q205"/>
      <c r="R205"/>
    </row>
    <row r="206" spans="1:19" x14ac:dyDescent="0.25">
      <c r="A206"/>
      <c r="B206"/>
      <c r="C206"/>
      <c r="D206"/>
      <c r="E206" s="40"/>
      <c r="F206" s="40"/>
      <c r="G206" s="40"/>
      <c r="H206" s="40"/>
      <c r="I206" s="40"/>
      <c r="J206" s="40"/>
      <c r="K206" s="40"/>
      <c r="L206" s="40"/>
      <c r="M206"/>
      <c r="N206"/>
      <c r="O206"/>
      <c r="P206"/>
      <c r="Q206"/>
      <c r="R206"/>
    </row>
    <row r="207" spans="1:19" x14ac:dyDescent="0.25">
      <c r="A207"/>
      <c r="B207"/>
      <c r="C207" s="3" t="s">
        <v>193</v>
      </c>
      <c r="D207"/>
      <c r="E207" s="46">
        <f t="shared" ref="E207:L207" si="61">90-ATAN2(E197,SQRT(E193^2+E195^2))*180/PI()</f>
        <v>-18.473326815875708</v>
      </c>
      <c r="F207" s="46">
        <f t="shared" si="61"/>
        <v>-20.871133662144004</v>
      </c>
      <c r="G207" s="46">
        <f t="shared" si="61"/>
        <v>15.284187033496863</v>
      </c>
      <c r="H207" s="46">
        <f t="shared" si="61"/>
        <v>8.5635649846822162</v>
      </c>
      <c r="I207" s="46">
        <f t="shared" si="61"/>
        <v>-22.251352982002217</v>
      </c>
      <c r="J207" s="46">
        <f t="shared" si="61"/>
        <v>-22.166441804456056</v>
      </c>
      <c r="K207" s="46">
        <f t="shared" si="61"/>
        <v>10.516467557024868</v>
      </c>
      <c r="L207" s="46">
        <f t="shared" si="61"/>
        <v>-6.9066994644572048</v>
      </c>
      <c r="M207"/>
      <c r="N207" t="s">
        <v>236</v>
      </c>
      <c r="O207"/>
      <c r="P207"/>
      <c r="Q207"/>
      <c r="R207"/>
    </row>
    <row r="208" spans="1:19" x14ac:dyDescent="0.25">
      <c r="A208"/>
      <c r="B208"/>
      <c r="C208"/>
      <c r="D208"/>
      <c r="E208"/>
      <c r="F208"/>
      <c r="G208"/>
      <c r="H208"/>
      <c r="I208"/>
      <c r="J208"/>
      <c r="K208"/>
      <c r="L208" s="167"/>
      <c r="M208"/>
      <c r="N208"/>
      <c r="O208"/>
      <c r="P208"/>
      <c r="Q208"/>
      <c r="R208"/>
    </row>
    <row r="209" spans="1:18" x14ac:dyDescent="0.25">
      <c r="A209"/>
      <c r="B209"/>
      <c r="C209"/>
      <c r="D209"/>
      <c r="E209"/>
      <c r="F209"/>
      <c r="G209"/>
      <c r="H209"/>
      <c r="I209"/>
      <c r="J209"/>
      <c r="K209"/>
      <c r="L209" s="167"/>
      <c r="M209"/>
      <c r="N209"/>
      <c r="O209"/>
      <c r="P209"/>
      <c r="Q209"/>
      <c r="R209"/>
    </row>
  </sheetData>
  <hyperlinks>
    <hyperlink ref="B20" r:id="rId1" location="elems"/>
    <hyperlink ref="M7" r:id="rId2" display="https://omniweb.gsfc.nasa.gov/coho/helios/planet.html"/>
  </hyperlinks>
  <pageMargins left="0.7" right="0.7" top="0.78740157499999996" bottom="0.78740157499999996" header="0.3" footer="0.3"/>
  <pageSetup paperSize="9" orientation="portrait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N129"/>
  <sheetViews>
    <sheetView workbookViewId="0">
      <selection activeCell="B4" sqref="B4"/>
    </sheetView>
  </sheetViews>
  <sheetFormatPr baseColWidth="10" defaultRowHeight="15" x14ac:dyDescent="0.25"/>
  <cols>
    <col min="2" max="2" width="14.7109375" bestFit="1" customWidth="1"/>
    <col min="3" max="3" width="16.140625" customWidth="1"/>
    <col min="7" max="7" width="17.7109375" customWidth="1"/>
  </cols>
  <sheetData>
    <row r="1" spans="1:9" ht="21" x14ac:dyDescent="0.35">
      <c r="A1" s="94" t="s">
        <v>55</v>
      </c>
    </row>
    <row r="3" spans="1:9" ht="21" x14ac:dyDescent="0.35">
      <c r="A3" t="s">
        <v>109</v>
      </c>
      <c r="B3" s="180">
        <f>Tabelle1!K8</f>
        <v>43497.775694444441</v>
      </c>
      <c r="C3" t="s">
        <v>32</v>
      </c>
      <c r="E3" s="181" t="s">
        <v>36</v>
      </c>
      <c r="F3" s="182"/>
      <c r="G3" s="183">
        <f>B3</f>
        <v>43497.775694444441</v>
      </c>
    </row>
    <row r="4" spans="1:9" x14ac:dyDescent="0.25">
      <c r="E4" s="182" t="s">
        <v>244</v>
      </c>
      <c r="F4" s="182"/>
      <c r="G4" s="184">
        <f>E31</f>
        <v>311.68529931912445</v>
      </c>
    </row>
    <row r="5" spans="1:9" x14ac:dyDescent="0.25">
      <c r="A5" t="s">
        <v>245</v>
      </c>
      <c r="E5" s="182" t="s">
        <v>246</v>
      </c>
      <c r="F5" s="185">
        <f>G4/15+12</f>
        <v>32.779019954608302</v>
      </c>
      <c r="G5" s="186">
        <f>F5/24</f>
        <v>1.3657924981086793</v>
      </c>
    </row>
    <row r="6" spans="1:9" x14ac:dyDescent="0.25">
      <c r="E6" s="182" t="s">
        <v>247</v>
      </c>
      <c r="F6" s="182"/>
      <c r="G6" s="244">
        <f>Tabelle1!C12</f>
        <v>9.73</v>
      </c>
    </row>
    <row r="7" spans="1:9" x14ac:dyDescent="0.25">
      <c r="E7" s="182" t="s">
        <v>248</v>
      </c>
      <c r="F7" s="182"/>
      <c r="G7" s="187">
        <v>0</v>
      </c>
    </row>
    <row r="8" spans="1:9" x14ac:dyDescent="0.25">
      <c r="E8" s="182" t="s">
        <v>249</v>
      </c>
      <c r="F8" s="188">
        <f>F5+G7*24+G6/15</f>
        <v>33.427686621274965</v>
      </c>
      <c r="G8" s="189">
        <f>F8/24</f>
        <v>1.392820275886457</v>
      </c>
    </row>
    <row r="9" spans="1:9" x14ac:dyDescent="0.25">
      <c r="A9" t="s">
        <v>250</v>
      </c>
    </row>
    <row r="14" spans="1:9" x14ac:dyDescent="0.25">
      <c r="A14" t="s">
        <v>251</v>
      </c>
      <c r="C14" s="25">
        <f>2451544.5+B3-DATE(2000,1,1)+1</f>
        <v>2458517.2756944443</v>
      </c>
      <c r="E14" t="s">
        <v>252</v>
      </c>
      <c r="G14" s="134" t="s">
        <v>253</v>
      </c>
      <c r="H14" s="134"/>
      <c r="I14" t="s">
        <v>254</v>
      </c>
    </row>
    <row r="15" spans="1:9" x14ac:dyDescent="0.25">
      <c r="G15" s="134"/>
      <c r="H15" s="134"/>
    </row>
    <row r="16" spans="1:9" x14ac:dyDescent="0.25">
      <c r="A16" t="s">
        <v>255</v>
      </c>
      <c r="C16" s="25">
        <f>B3-DATE(2000,1,1)+1</f>
        <v>6972.7756944444409</v>
      </c>
      <c r="D16" t="s">
        <v>121</v>
      </c>
      <c r="E16" t="s">
        <v>252</v>
      </c>
      <c r="G16" s="134" t="s">
        <v>256</v>
      </c>
      <c r="H16" s="134"/>
      <c r="I16" t="s">
        <v>257</v>
      </c>
    </row>
    <row r="17" spans="1:9" x14ac:dyDescent="0.25">
      <c r="G17" s="134"/>
      <c r="H17" s="134"/>
    </row>
    <row r="18" spans="1:9" x14ac:dyDescent="0.25">
      <c r="A18" t="s">
        <v>123</v>
      </c>
      <c r="C18" s="102">
        <f>(C14-2451545)/36525</f>
        <v>0.19089050498136373</v>
      </c>
      <c r="G18" s="134" t="s">
        <v>258</v>
      </c>
      <c r="H18" s="134"/>
      <c r="I18" t="s">
        <v>259</v>
      </c>
    </row>
    <row r="19" spans="1:9" x14ac:dyDescent="0.25">
      <c r="G19" s="134"/>
      <c r="H19" s="134"/>
    </row>
    <row r="20" spans="1:9" x14ac:dyDescent="0.25">
      <c r="B20" s="27" t="s">
        <v>179</v>
      </c>
      <c r="E20" s="190">
        <f>282.9404+0.0000470935*C16</f>
        <v>283.26877241216636</v>
      </c>
      <c r="F20" s="28"/>
      <c r="G20" s="134" t="s">
        <v>260</v>
      </c>
      <c r="H20" s="134"/>
      <c r="I20" t="s">
        <v>261</v>
      </c>
    </row>
    <row r="21" spans="1:9" x14ac:dyDescent="0.25">
      <c r="G21" s="134"/>
      <c r="H21" s="134"/>
    </row>
    <row r="22" spans="1:9" x14ac:dyDescent="0.25">
      <c r="B22" t="s">
        <v>262</v>
      </c>
      <c r="E22" s="123">
        <v>1</v>
      </c>
      <c r="G22" s="134">
        <v>1</v>
      </c>
      <c r="H22" s="134"/>
      <c r="I22" t="s">
        <v>263</v>
      </c>
    </row>
    <row r="23" spans="1:9" x14ac:dyDescent="0.25">
      <c r="G23" s="134"/>
      <c r="H23" s="134"/>
    </row>
    <row r="24" spans="1:9" x14ac:dyDescent="0.25">
      <c r="B24" t="s">
        <v>264</v>
      </c>
      <c r="E24" s="190">
        <f>0.016709-0.000000001151*C16</f>
        <v>1.6700974335175697E-2</v>
      </c>
      <c r="F24" s="28"/>
      <c r="G24" s="134" t="s">
        <v>265</v>
      </c>
      <c r="H24" s="134"/>
      <c r="I24" t="s">
        <v>166</v>
      </c>
    </row>
    <row r="25" spans="1:9" x14ac:dyDescent="0.25">
      <c r="G25" s="134"/>
      <c r="H25" s="134"/>
    </row>
    <row r="26" spans="1:9" x14ac:dyDescent="0.25">
      <c r="B26" t="s">
        <v>266</v>
      </c>
      <c r="E26" s="77">
        <f>356.047+0.9856002585*C16</f>
        <v>7228.4165269069581</v>
      </c>
      <c r="F26" s="28"/>
      <c r="G26" s="134" t="s">
        <v>267</v>
      </c>
      <c r="H26" s="134"/>
      <c r="I26" t="s">
        <v>62</v>
      </c>
    </row>
    <row r="27" spans="1:9" x14ac:dyDescent="0.25">
      <c r="E27" s="190">
        <f>E26-INT(E26/360)*360</f>
        <v>28.416526906958097</v>
      </c>
      <c r="G27" s="134" t="s">
        <v>268</v>
      </c>
      <c r="H27" s="134"/>
      <c r="I27" s="98" t="s">
        <v>269</v>
      </c>
    </row>
    <row r="28" spans="1:9" x14ac:dyDescent="0.25">
      <c r="G28" s="134"/>
      <c r="H28" s="134"/>
    </row>
    <row r="29" spans="1:9" x14ac:dyDescent="0.25">
      <c r="G29" s="134"/>
      <c r="H29" s="134"/>
    </row>
    <row r="30" spans="1:9" x14ac:dyDescent="0.25">
      <c r="B30" t="s">
        <v>134</v>
      </c>
      <c r="E30" s="77">
        <f>E20+E27</f>
        <v>311.68529931912445</v>
      </c>
      <c r="F30" s="28"/>
      <c r="G30" s="134" t="s">
        <v>270</v>
      </c>
      <c r="H30" s="134"/>
      <c r="I30" t="s">
        <v>271</v>
      </c>
    </row>
    <row r="31" spans="1:9" x14ac:dyDescent="0.25">
      <c r="E31" s="190">
        <f>E30-INT(E30/360)*360</f>
        <v>311.68529931912445</v>
      </c>
      <c r="G31" s="134" t="s">
        <v>272</v>
      </c>
      <c r="H31" s="134"/>
      <c r="I31" s="98" t="s">
        <v>273</v>
      </c>
    </row>
    <row r="32" spans="1:9" x14ac:dyDescent="0.25">
      <c r="G32" s="134"/>
      <c r="H32" s="134"/>
    </row>
    <row r="33" spans="1:9" x14ac:dyDescent="0.25">
      <c r="B33" t="s">
        <v>274</v>
      </c>
      <c r="E33" s="190">
        <f>E27+(180/PI()*E24*SIN(RADIANS(E27))*(1+E24*COS(RADIANS(E27))))</f>
        <v>28.878580999003589</v>
      </c>
      <c r="F33" s="28"/>
      <c r="G33" s="134" t="s">
        <v>275</v>
      </c>
      <c r="H33" s="134"/>
      <c r="I33" t="s">
        <v>175</v>
      </c>
    </row>
    <row r="38" spans="1:9" x14ac:dyDescent="0.25">
      <c r="B38" t="s">
        <v>276</v>
      </c>
      <c r="E38" s="93">
        <f>COS(RADIANS(E33))-E24</f>
        <v>0.85894415795069434</v>
      </c>
      <c r="F38" s="28"/>
      <c r="G38" s="134" t="s">
        <v>277</v>
      </c>
      <c r="H38" s="134"/>
      <c r="I38" t="s">
        <v>278</v>
      </c>
    </row>
    <row r="39" spans="1:9" x14ac:dyDescent="0.25">
      <c r="G39" s="134"/>
      <c r="H39" s="134"/>
    </row>
    <row r="40" spans="1:9" x14ac:dyDescent="0.25">
      <c r="B40" t="s">
        <v>194</v>
      </c>
      <c r="E40" s="93">
        <f>SIN(RADIANS(E33))*SQRT(1-E24^2)</f>
        <v>0.48288771453346108</v>
      </c>
      <c r="F40" s="28"/>
      <c r="G40" s="134" t="s">
        <v>279</v>
      </c>
      <c r="H40" s="134"/>
      <c r="I40" t="s">
        <v>280</v>
      </c>
    </row>
    <row r="44" spans="1:9" x14ac:dyDescent="0.25">
      <c r="B44" t="s">
        <v>281</v>
      </c>
      <c r="E44" s="190">
        <f>SQRT(E38^2+E40^2)</f>
        <v>0.98537587311897212</v>
      </c>
      <c r="F44" s="28"/>
      <c r="G44" s="134" t="s">
        <v>282</v>
      </c>
      <c r="I44" t="s">
        <v>283</v>
      </c>
    </row>
    <row r="48" spans="1:9" x14ac:dyDescent="0.25">
      <c r="A48" s="3" t="s">
        <v>176</v>
      </c>
    </row>
    <row r="49" spans="1:9" x14ac:dyDescent="0.25">
      <c r="B49" t="s">
        <v>284</v>
      </c>
      <c r="E49" s="20">
        <f>ATAN2(E40,E38)*180/PI()</f>
        <v>60.655847327264446</v>
      </c>
      <c r="F49" s="28"/>
      <c r="G49" s="134" t="s">
        <v>285</v>
      </c>
      <c r="H49" s="134"/>
      <c r="I49" t="s">
        <v>286</v>
      </c>
    </row>
    <row r="50" spans="1:9" x14ac:dyDescent="0.25">
      <c r="E50" s="190">
        <f>IF(ATAN2(E38,E40)*180/PI()&lt;0,360+ATAN2(E38,E40)*180/PI(),ATAN2(E38,E40)*180/PI())</f>
        <v>29.344152672735557</v>
      </c>
      <c r="G50" t="s">
        <v>287</v>
      </c>
      <c r="I50" t="s">
        <v>288</v>
      </c>
    </row>
    <row r="51" spans="1:9" x14ac:dyDescent="0.25">
      <c r="A51" s="3" t="s">
        <v>197</v>
      </c>
    </row>
    <row r="52" spans="1:9" x14ac:dyDescent="0.25">
      <c r="B52" t="s">
        <v>289</v>
      </c>
      <c r="E52" s="20">
        <f>E20+E50</f>
        <v>312.61292508490192</v>
      </c>
      <c r="F52" s="38"/>
      <c r="G52" s="93" t="s">
        <v>290</v>
      </c>
      <c r="H52" s="134"/>
      <c r="I52" t="s">
        <v>291</v>
      </c>
    </row>
    <row r="53" spans="1:9" x14ac:dyDescent="0.25">
      <c r="D53" s="20"/>
      <c r="E53" s="190">
        <f>E52-INT(E52/360)*360</f>
        <v>312.61292508490192</v>
      </c>
      <c r="F53" s="38"/>
      <c r="G53" s="93" t="s">
        <v>292</v>
      </c>
      <c r="H53" s="134"/>
      <c r="I53" t="s">
        <v>293</v>
      </c>
    </row>
    <row r="54" spans="1:9" x14ac:dyDescent="0.25">
      <c r="D54" s="20"/>
      <c r="E54" s="38"/>
      <c r="F54" s="38"/>
      <c r="G54" s="38"/>
    </row>
    <row r="56" spans="1:9" ht="18" x14ac:dyDescent="0.35">
      <c r="B56" t="s">
        <v>294</v>
      </c>
      <c r="E56" s="134">
        <f>E44*COS(RADIANS(E53))</f>
        <v>0.6671408569448718</v>
      </c>
      <c r="F56" s="28"/>
      <c r="G56" s="134" t="s">
        <v>295</v>
      </c>
      <c r="H56" s="134"/>
      <c r="I56" t="s">
        <v>296</v>
      </c>
    </row>
    <row r="57" spans="1:9" x14ac:dyDescent="0.25">
      <c r="G57" s="134"/>
      <c r="H57" s="134"/>
    </row>
    <row r="58" spans="1:9" ht="18" x14ac:dyDescent="0.35">
      <c r="B58" t="s">
        <v>297</v>
      </c>
      <c r="E58" s="134">
        <f>E44*SIN(RADIANS(E53))</f>
        <v>-0.72518183121189606</v>
      </c>
      <c r="F58" s="28"/>
      <c r="G58" s="134" t="s">
        <v>298</v>
      </c>
      <c r="H58" s="134"/>
      <c r="I58" t="s">
        <v>299</v>
      </c>
    </row>
    <row r="60" spans="1:9" ht="18" x14ac:dyDescent="0.35">
      <c r="B60" t="s">
        <v>300</v>
      </c>
      <c r="E60">
        <v>0</v>
      </c>
      <c r="G60" t="s">
        <v>301</v>
      </c>
      <c r="I60">
        <v>0</v>
      </c>
    </row>
    <row r="62" spans="1:9" x14ac:dyDescent="0.25">
      <c r="A62" s="3" t="s">
        <v>302</v>
      </c>
    </row>
    <row r="64" spans="1:9" x14ac:dyDescent="0.25">
      <c r="B64" t="s">
        <v>303</v>
      </c>
      <c r="E64" s="191">
        <v>23.4406</v>
      </c>
      <c r="F64" s="19"/>
      <c r="G64" s="19">
        <v>23.4406</v>
      </c>
    </row>
    <row r="66" spans="1:9" ht="18" x14ac:dyDescent="0.35">
      <c r="B66" t="s">
        <v>304</v>
      </c>
      <c r="E66" s="134">
        <f>E56</f>
        <v>0.6671408569448718</v>
      </c>
      <c r="F66" s="28"/>
      <c r="G66" s="134" t="s">
        <v>305</v>
      </c>
      <c r="H66" s="134"/>
      <c r="I66" t="s">
        <v>306</v>
      </c>
    </row>
    <row r="67" spans="1:9" x14ac:dyDescent="0.25">
      <c r="E67" s="134"/>
      <c r="G67" s="134"/>
      <c r="H67" s="134"/>
    </row>
    <row r="68" spans="1:9" ht="18" x14ac:dyDescent="0.35">
      <c r="B68" t="s">
        <v>307</v>
      </c>
      <c r="E68" s="134">
        <f>E58*COS(RADIANS(E64))-E60*SIN(RADIANS(E64))</f>
        <v>-0.66533473198269755</v>
      </c>
      <c r="F68" s="28"/>
      <c r="G68" s="134" t="s">
        <v>308</v>
      </c>
      <c r="H68" s="134"/>
      <c r="I68" t="s">
        <v>309</v>
      </c>
    </row>
    <row r="69" spans="1:9" x14ac:dyDescent="0.25">
      <c r="E69" s="134"/>
      <c r="G69" s="134"/>
      <c r="H69" s="134"/>
    </row>
    <row r="70" spans="1:9" ht="18" x14ac:dyDescent="0.35">
      <c r="B70" t="s">
        <v>310</v>
      </c>
      <c r="E70" s="134">
        <f>E58*SIN(RADIANS(E64))+E60*COS(RADIANS(E64))</f>
        <v>-0.28847596561472999</v>
      </c>
      <c r="F70" s="28"/>
      <c r="G70" s="134" t="s">
        <v>311</v>
      </c>
      <c r="H70" s="134"/>
      <c r="I70" t="s">
        <v>312</v>
      </c>
    </row>
    <row r="72" spans="1:9" x14ac:dyDescent="0.25">
      <c r="A72" s="3" t="s">
        <v>189</v>
      </c>
    </row>
    <row r="74" spans="1:9" x14ac:dyDescent="0.25">
      <c r="B74" t="s">
        <v>313</v>
      </c>
      <c r="E74" s="169">
        <f>SQRT(E66^2+E68^2+E70^2)</f>
        <v>0.98537587311897212</v>
      </c>
      <c r="F74" s="38"/>
      <c r="G74" s="93" t="s">
        <v>314</v>
      </c>
      <c r="I74" t="s">
        <v>315</v>
      </c>
    </row>
    <row r="75" spans="1:9" x14ac:dyDescent="0.25">
      <c r="F75" s="19"/>
      <c r="G75" s="19"/>
    </row>
    <row r="76" spans="1:9" x14ac:dyDescent="0.25">
      <c r="E76" s="20">
        <f>ATAN2(E66,E68)*180/PI()</f>
        <v>-44.922337583450251</v>
      </c>
      <c r="F76" s="19"/>
      <c r="G76" s="19" t="s">
        <v>316</v>
      </c>
      <c r="I76" t="s">
        <v>317</v>
      </c>
    </row>
    <row r="77" spans="1:9" x14ac:dyDescent="0.25">
      <c r="B77" t="s">
        <v>103</v>
      </c>
      <c r="E77">
        <f>IF(E76&lt;0,360+E76,E76)</f>
        <v>315.07766241654974</v>
      </c>
      <c r="F77" s="19"/>
      <c r="G77" s="19" t="s">
        <v>318</v>
      </c>
      <c r="I77" t="s">
        <v>319</v>
      </c>
    </row>
    <row r="78" spans="1:9" x14ac:dyDescent="0.25">
      <c r="B78" t="s">
        <v>192</v>
      </c>
      <c r="E78" s="192">
        <f>E77/15</f>
        <v>21.005177494436648</v>
      </c>
      <c r="F78" s="19"/>
      <c r="G78" s="19" t="s">
        <v>320</v>
      </c>
      <c r="I78" t="s">
        <v>321</v>
      </c>
    </row>
    <row r="79" spans="1:9" x14ac:dyDescent="0.25">
      <c r="E79" s="193">
        <f>E78/24</f>
        <v>0.87521572893486033</v>
      </c>
      <c r="F79" s="194"/>
      <c r="G79" s="195" t="s">
        <v>322</v>
      </c>
      <c r="I79" t="s">
        <v>323</v>
      </c>
    </row>
    <row r="80" spans="1:9" x14ac:dyDescent="0.25">
      <c r="F80" s="19"/>
      <c r="G80" s="19"/>
    </row>
    <row r="81" spans="1:9" x14ac:dyDescent="0.25">
      <c r="B81" t="s">
        <v>324</v>
      </c>
      <c r="E81" s="190">
        <f>ASIN(E70/E74)*180/PI()</f>
        <v>-17.023102993095385</v>
      </c>
      <c r="F81" s="38"/>
      <c r="G81" s="93" t="s">
        <v>325</v>
      </c>
      <c r="I81" t="s">
        <v>326</v>
      </c>
    </row>
    <row r="82" spans="1:9" x14ac:dyDescent="0.25">
      <c r="F82" s="20"/>
      <c r="G82" s="20"/>
    </row>
    <row r="83" spans="1:9" x14ac:dyDescent="0.25">
      <c r="C83" t="s">
        <v>214</v>
      </c>
      <c r="E83" s="20">
        <f>ATAN2(E70,SQRT(E66^2+E68^2))*180/PI()</f>
        <v>107.02310299309538</v>
      </c>
      <c r="G83" t="s">
        <v>327</v>
      </c>
      <c r="I83" t="s">
        <v>328</v>
      </c>
    </row>
    <row r="84" spans="1:9" x14ac:dyDescent="0.25">
      <c r="E84" s="134">
        <f>IF(E83&gt;E64,90-E83,E83)</f>
        <v>-17.023102993095378</v>
      </c>
      <c r="G84" t="s">
        <v>329</v>
      </c>
      <c r="I84" t="s">
        <v>330</v>
      </c>
    </row>
    <row r="85" spans="1:9" ht="23.25" x14ac:dyDescent="0.35">
      <c r="B85" s="196"/>
      <c r="C85" s="196"/>
      <c r="D85" s="196"/>
    </row>
    <row r="86" spans="1:9" ht="23.25" x14ac:dyDescent="0.35">
      <c r="A86" t="s">
        <v>331</v>
      </c>
      <c r="B86" s="196"/>
      <c r="D86" s="196"/>
      <c r="E86" s="206">
        <f>Tabelle1!C12</f>
        <v>9.73</v>
      </c>
      <c r="G86" t="s">
        <v>374</v>
      </c>
    </row>
    <row r="87" spans="1:9" ht="23.25" x14ac:dyDescent="0.35">
      <c r="B87" s="196"/>
      <c r="C87" s="198"/>
      <c r="D87" s="196"/>
    </row>
    <row r="88" spans="1:9" ht="23.25" x14ac:dyDescent="0.35">
      <c r="A88" t="s">
        <v>332</v>
      </c>
      <c r="B88" s="196"/>
      <c r="D88" s="196"/>
      <c r="E88" s="197">
        <f>Tabelle1!C14</f>
        <v>52.4</v>
      </c>
      <c r="G88" t="s">
        <v>333</v>
      </c>
    </row>
    <row r="89" spans="1:9" ht="23.25" x14ac:dyDescent="0.35">
      <c r="B89" s="196"/>
      <c r="C89" s="196"/>
      <c r="D89" s="196"/>
    </row>
    <row r="90" spans="1:9" ht="23.25" x14ac:dyDescent="0.35">
      <c r="B90" s="196"/>
      <c r="C90" s="196"/>
      <c r="D90" s="19"/>
    </row>
    <row r="91" spans="1:9" ht="18.75" x14ac:dyDescent="0.3">
      <c r="A91" s="199" t="s">
        <v>334</v>
      </c>
    </row>
    <row r="93" spans="1:9" x14ac:dyDescent="0.25">
      <c r="B93" t="s">
        <v>335</v>
      </c>
    </row>
    <row r="95" spans="1:9" x14ac:dyDescent="0.25">
      <c r="B95" t="s">
        <v>336</v>
      </c>
      <c r="E95" s="20">
        <f>ATAN((TAN(RADIANS(E31))-TAN(RADIANS(E53))*COS(RADIANS(E64)))/(1+TAN(RADIANS(E31))*TAN(RADIANS(E53))*COS(RADIANS(E64))))*180/PI()</f>
        <v>-3.3923630974253132</v>
      </c>
      <c r="F95" t="s">
        <v>337</v>
      </c>
      <c r="G95" t="s">
        <v>338</v>
      </c>
    </row>
    <row r="96" spans="1:9" x14ac:dyDescent="0.25">
      <c r="G96" t="s">
        <v>339</v>
      </c>
    </row>
    <row r="97" spans="1:14" x14ac:dyDescent="0.25">
      <c r="B97" t="s">
        <v>340</v>
      </c>
      <c r="E97" s="200">
        <f>E95*4</f>
        <v>-13.569452389701253</v>
      </c>
      <c r="F97" t="s">
        <v>341</v>
      </c>
      <c r="G97" t="s">
        <v>342</v>
      </c>
    </row>
    <row r="101" spans="1:14" ht="18.75" x14ac:dyDescent="0.3">
      <c r="A101" s="201" t="s">
        <v>343</v>
      </c>
      <c r="C101" s="19"/>
      <c r="D101" s="19"/>
      <c r="G101" s="20">
        <f>ACOS(((SIN(RADIANS(E88))*SIN(RADIANS(E81))/(COS(RADIANS(E88))*COS(RADIANS(E81))))))*180/PI()</f>
        <v>113.42647928976608</v>
      </c>
      <c r="H101" s="28"/>
      <c r="M101" s="28">
        <f>TAN(RADIANS(E88))*TAN(RADIANS(E81))</f>
        <v>-0.39757198923288706</v>
      </c>
    </row>
    <row r="102" spans="1:14" x14ac:dyDescent="0.25">
      <c r="C102" s="19"/>
      <c r="D102" s="19"/>
      <c r="E102" s="19"/>
      <c r="M102" s="28">
        <f>ACOS(TAN(RADIANS(E88))*TAN(RADIANS(E81)))*180/PI()</f>
        <v>113.42647928976608</v>
      </c>
      <c r="N102" s="28">
        <f>ACOS(M101)*180/PI()/12</f>
        <v>9.4522066074805071</v>
      </c>
    </row>
    <row r="103" spans="1:14" x14ac:dyDescent="0.25">
      <c r="A103" s="19" t="s">
        <v>344</v>
      </c>
      <c r="C103" s="19"/>
      <c r="D103" s="19"/>
      <c r="E103" s="20">
        <f>ACOS((SIN(RADIANS(-0.833))-(SIN(RADIANS(E88))*SIN(RADIANS(E81))/(COS(RADIANS(E88))*COS(RADIANS(E81))))))*180/PI()</f>
        <v>67.478262972330882</v>
      </c>
      <c r="G103" s="20" t="s">
        <v>345</v>
      </c>
    </row>
    <row r="104" spans="1:14" x14ac:dyDescent="0.25">
      <c r="B104" s="19"/>
      <c r="C104" s="19"/>
      <c r="D104" s="19"/>
      <c r="E104" s="77">
        <f>E103/15</f>
        <v>4.4985508648220591</v>
      </c>
      <c r="G104" s="20" t="s">
        <v>346</v>
      </c>
    </row>
    <row r="105" spans="1:14" x14ac:dyDescent="0.25">
      <c r="B105" s="19" t="s">
        <v>347</v>
      </c>
      <c r="C105" s="19"/>
      <c r="D105" s="19">
        <f>12*ACOS((SIN(RADIANS(-0.833))-(SIN(RADIANS(E88))*SIN(RADIANS(E81))/(COS(RADIANS(E88))*COS(RADIANS(E81))))))/PI()</f>
        <v>4.4985508648220591</v>
      </c>
      <c r="E105" s="19"/>
      <c r="G105" t="s">
        <v>348</v>
      </c>
    </row>
    <row r="106" spans="1:14" x14ac:dyDescent="0.25">
      <c r="B106" s="19"/>
      <c r="C106" s="19"/>
      <c r="D106" s="19"/>
      <c r="E106" s="19"/>
      <c r="G106" t="s">
        <v>349</v>
      </c>
    </row>
    <row r="107" spans="1:14" x14ac:dyDescent="0.25">
      <c r="B107" s="19" t="s">
        <v>350</v>
      </c>
      <c r="C107" s="19"/>
      <c r="D107" s="19">
        <f>2*D105</f>
        <v>8.9971017296441183</v>
      </c>
      <c r="G107" t="s">
        <v>351</v>
      </c>
    </row>
    <row r="108" spans="1:14" x14ac:dyDescent="0.25">
      <c r="B108" s="19"/>
      <c r="C108" s="19"/>
      <c r="E108" s="202">
        <f>D107/24</f>
        <v>0.37487923873517159</v>
      </c>
      <c r="G108" t="s">
        <v>352</v>
      </c>
    </row>
    <row r="109" spans="1:14" x14ac:dyDescent="0.25">
      <c r="B109" s="19"/>
      <c r="C109" s="19"/>
      <c r="D109" s="19"/>
      <c r="E109" s="203"/>
    </row>
    <row r="110" spans="1:14" x14ac:dyDescent="0.25">
      <c r="B110" s="19"/>
      <c r="C110" s="19"/>
      <c r="D110" s="19"/>
      <c r="E110" s="19"/>
    </row>
    <row r="111" spans="1:14" x14ac:dyDescent="0.25">
      <c r="B111" s="19" t="s">
        <v>353</v>
      </c>
      <c r="C111" s="19" t="s">
        <v>354</v>
      </c>
      <c r="D111" s="123">
        <v>12</v>
      </c>
      <c r="E111" s="19"/>
      <c r="G111" s="204">
        <v>12</v>
      </c>
    </row>
    <row r="112" spans="1:14" x14ac:dyDescent="0.25">
      <c r="B112" s="19" t="s">
        <v>90</v>
      </c>
      <c r="C112" s="19"/>
      <c r="D112" s="7">
        <f>E97</f>
        <v>-13.569452389701253</v>
      </c>
      <c r="E112" s="19"/>
      <c r="G112" t="s">
        <v>355</v>
      </c>
    </row>
    <row r="113" spans="2:7" x14ac:dyDescent="0.25">
      <c r="B113" s="19"/>
      <c r="C113" s="19"/>
      <c r="D113" s="77">
        <f>D112/60</f>
        <v>-0.22615753982835421</v>
      </c>
      <c r="E113" s="19"/>
      <c r="G113" t="s">
        <v>356</v>
      </c>
    </row>
    <row r="114" spans="2:7" x14ac:dyDescent="0.25">
      <c r="B114" s="19"/>
      <c r="C114" s="19"/>
      <c r="D114" s="19"/>
      <c r="E114" s="19"/>
    </row>
    <row r="115" spans="2:7" x14ac:dyDescent="0.25">
      <c r="B115" s="19" t="s">
        <v>357</v>
      </c>
      <c r="C115" s="19"/>
      <c r="D115" s="19">
        <f>(15-E86)*4/60</f>
        <v>0.35133333333333333</v>
      </c>
      <c r="E115" s="19"/>
      <c r="G115" t="s">
        <v>358</v>
      </c>
    </row>
    <row r="116" spans="2:7" x14ac:dyDescent="0.25">
      <c r="B116" s="19" t="s">
        <v>359</v>
      </c>
      <c r="C116" s="19"/>
      <c r="D116" s="19">
        <f>12+D115-D113</f>
        <v>12.577490873161688</v>
      </c>
      <c r="G116" t="s">
        <v>360</v>
      </c>
    </row>
    <row r="117" spans="2:7" x14ac:dyDescent="0.25">
      <c r="B117" s="19"/>
      <c r="C117" s="19"/>
      <c r="D117" s="19"/>
      <c r="E117" s="202">
        <f>D116/24</f>
        <v>0.52406211971507033</v>
      </c>
      <c r="G117" t="s">
        <v>361</v>
      </c>
    </row>
    <row r="118" spans="2:7" x14ac:dyDescent="0.25">
      <c r="B118" s="19"/>
      <c r="C118" s="19"/>
      <c r="D118" s="19"/>
      <c r="E118" s="19"/>
    </row>
    <row r="119" spans="2:7" x14ac:dyDescent="0.25">
      <c r="B119" s="19"/>
      <c r="C119" s="19"/>
      <c r="D119" s="19"/>
      <c r="E119" s="19"/>
    </row>
    <row r="120" spans="2:7" x14ac:dyDescent="0.25">
      <c r="B120" s="19" t="s">
        <v>362</v>
      </c>
      <c r="C120" s="19" t="s">
        <v>363</v>
      </c>
      <c r="D120" s="19">
        <f>D116-D105</f>
        <v>8.0789400083396288</v>
      </c>
      <c r="G120" t="s">
        <v>364</v>
      </c>
    </row>
    <row r="121" spans="2:7" x14ac:dyDescent="0.25">
      <c r="B121" s="19"/>
      <c r="C121" s="19"/>
      <c r="D121" s="19"/>
      <c r="E121" s="202">
        <f>D120/24</f>
        <v>0.33662250034748453</v>
      </c>
      <c r="G121" t="s">
        <v>365</v>
      </c>
    </row>
    <row r="123" spans="2:7" x14ac:dyDescent="0.25">
      <c r="D123" t="s">
        <v>366</v>
      </c>
      <c r="E123" s="205">
        <f>DEGREES(ACOS((SIN(RADIANS(E81))/COS(RADIANS(E88)))))</f>
        <v>118.67337181851028</v>
      </c>
      <c r="G123" t="s">
        <v>367</v>
      </c>
    </row>
    <row r="124" spans="2:7" x14ac:dyDescent="0.25">
      <c r="G124" t="s">
        <v>368</v>
      </c>
    </row>
    <row r="125" spans="2:7" x14ac:dyDescent="0.25">
      <c r="B125" s="19" t="s">
        <v>369</v>
      </c>
      <c r="C125" s="19" t="s">
        <v>363</v>
      </c>
      <c r="D125" s="19">
        <f>D116+D105</f>
        <v>17.076041737983747</v>
      </c>
      <c r="G125" t="s">
        <v>370</v>
      </c>
    </row>
    <row r="126" spans="2:7" x14ac:dyDescent="0.25">
      <c r="E126" s="202">
        <f>D125/24</f>
        <v>0.71150173908265613</v>
      </c>
      <c r="G126" t="s">
        <v>371</v>
      </c>
    </row>
    <row r="128" spans="2:7" x14ac:dyDescent="0.25">
      <c r="D128" t="s">
        <v>366</v>
      </c>
      <c r="E128" s="205">
        <f>360-DEGREES(ACOS((SIN(RADIANS(E81))/COS(RADIANS(E88)))))</f>
        <v>241.32662818148972</v>
      </c>
      <c r="G128" t="s">
        <v>372</v>
      </c>
    </row>
    <row r="129" spans="7:7" x14ac:dyDescent="0.25">
      <c r="G129" t="s">
        <v>373</v>
      </c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Ingo</dc:creator>
  <cp:lastModifiedBy>Ingo</cp:lastModifiedBy>
  <dcterms:created xsi:type="dcterms:W3CDTF">2019-01-24T08:43:14Z</dcterms:created>
  <dcterms:modified xsi:type="dcterms:W3CDTF">2019-02-12T07:43:25Z</dcterms:modified>
</cp:coreProperties>
</file>