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8380" windowHeight="12660"/>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AS24" i="1" l="1"/>
  <c r="AS25" i="1" s="1"/>
  <c r="AS26" i="1" s="1"/>
  <c r="AT33" i="1" s="1"/>
  <c r="C24" i="1"/>
  <c r="AT62" i="1" l="1"/>
  <c r="AV62" i="1" s="1"/>
  <c r="AT58" i="1"/>
  <c r="AV58" i="1" s="1"/>
  <c r="AT59" i="1"/>
  <c r="AV59" i="1" s="1"/>
  <c r="AT56" i="1"/>
  <c r="AV56" i="1" s="1"/>
  <c r="AT54" i="1"/>
  <c r="AV54" i="1" s="1"/>
  <c r="AT53" i="1"/>
  <c r="AV53" i="1" s="1"/>
  <c r="AT51" i="1"/>
  <c r="AV51" i="1" s="1"/>
  <c r="AT61" i="1"/>
  <c r="AV61" i="1" s="1"/>
  <c r="AT57" i="1"/>
  <c r="AV57" i="1" s="1"/>
  <c r="AT52" i="1"/>
  <c r="AV52" i="1" s="1"/>
  <c r="AT60" i="1"/>
  <c r="AV60" i="1" s="1"/>
  <c r="AT34" i="1"/>
  <c r="AT40" i="1" s="1"/>
  <c r="AW64" i="1" s="1"/>
  <c r="AT55" i="1"/>
  <c r="AV55" i="1" s="1"/>
  <c r="AT63" i="1"/>
  <c r="AV63" i="1" s="1"/>
  <c r="C25" i="1"/>
  <c r="C26" i="1" s="1"/>
  <c r="Y33" i="1" s="1"/>
  <c r="Y34" i="1" s="1"/>
  <c r="AT35" i="1" l="1"/>
  <c r="AT38" i="1"/>
  <c r="AT39" i="1"/>
  <c r="AW53" i="1" s="1"/>
  <c r="AT36" i="1"/>
  <c r="AT37" i="1"/>
  <c r="AW67" i="1" s="1"/>
  <c r="AT50" i="1"/>
  <c r="AV50" i="1" s="1"/>
  <c r="AV64" i="1" s="1"/>
  <c r="Y61" i="1"/>
  <c r="AA61" i="1" s="1"/>
  <c r="Y59" i="1"/>
  <c r="AA59" i="1" s="1"/>
  <c r="Y57" i="1"/>
  <c r="AA57" i="1" s="1"/>
  <c r="Y55" i="1"/>
  <c r="AA55" i="1" s="1"/>
  <c r="Y56" i="1"/>
  <c r="AA56" i="1" s="1"/>
  <c r="Y54" i="1"/>
  <c r="AA54" i="1" s="1"/>
  <c r="Y52" i="1"/>
  <c r="AA52" i="1" s="1"/>
  <c r="Y63" i="1"/>
  <c r="AA63" i="1" s="1"/>
  <c r="Y53" i="1"/>
  <c r="AA53" i="1" s="1"/>
  <c r="Y51" i="1"/>
  <c r="AA51" i="1" s="1"/>
  <c r="Y62" i="1"/>
  <c r="AA62" i="1" s="1"/>
  <c r="Y60" i="1"/>
  <c r="AA60" i="1" s="1"/>
  <c r="Y58" i="1"/>
  <c r="AA58" i="1" s="1"/>
  <c r="Y36" i="1"/>
  <c r="D33" i="1"/>
  <c r="D34" i="1" s="1"/>
  <c r="O33" i="1"/>
  <c r="O34" i="1" s="1"/>
  <c r="AI33" i="1"/>
  <c r="AI34" i="1" s="1"/>
  <c r="AW69" i="1" l="1"/>
  <c r="AW60" i="1"/>
  <c r="AW52" i="1"/>
  <c r="AW68" i="1"/>
  <c r="AW57" i="1"/>
  <c r="AW74" i="1"/>
  <c r="AW66" i="1"/>
  <c r="AW73" i="1"/>
  <c r="AW65" i="1"/>
  <c r="AW72" i="1"/>
  <c r="AW70" i="1"/>
  <c r="AW71" i="1"/>
  <c r="AW58" i="1"/>
  <c r="AW50" i="1"/>
  <c r="AW62" i="1"/>
  <c r="AW54" i="1"/>
  <c r="AW59" i="1"/>
  <c r="AW51" i="1"/>
  <c r="AW56" i="1"/>
  <c r="AW61" i="1"/>
  <c r="AW63" i="1"/>
  <c r="AW55" i="1"/>
  <c r="Y50" i="1"/>
  <c r="Y38" i="1"/>
  <c r="AI58" i="1"/>
  <c r="AK58" i="1" s="1"/>
  <c r="AI56" i="1"/>
  <c r="AK56" i="1" s="1"/>
  <c r="AI54" i="1"/>
  <c r="AK54" i="1" s="1"/>
  <c r="AI52" i="1"/>
  <c r="AK52" i="1" s="1"/>
  <c r="AI50" i="1"/>
  <c r="AK50" i="1" s="1"/>
  <c r="AI63" i="1"/>
  <c r="AK63" i="1" s="1"/>
  <c r="AI61" i="1"/>
  <c r="AK61" i="1" s="1"/>
  <c r="AI59" i="1"/>
  <c r="AK59" i="1" s="1"/>
  <c r="AI55" i="1"/>
  <c r="AK55" i="1" s="1"/>
  <c r="AI53" i="1"/>
  <c r="AK53" i="1" s="1"/>
  <c r="AI51" i="1"/>
  <c r="AK51" i="1" s="1"/>
  <c r="AI62" i="1"/>
  <c r="AK62" i="1" s="1"/>
  <c r="AI60" i="1"/>
  <c r="AK60" i="1" s="1"/>
  <c r="AI35" i="1"/>
  <c r="AI57" i="1"/>
  <c r="AK57" i="1" s="1"/>
  <c r="AI36" i="1"/>
  <c r="E63" i="1"/>
  <c r="G63" i="1" s="1"/>
  <c r="E61" i="1"/>
  <c r="G61" i="1" s="1"/>
  <c r="E59" i="1"/>
  <c r="G59" i="1" s="1"/>
  <c r="E57" i="1"/>
  <c r="G57" i="1" s="1"/>
  <c r="E55" i="1"/>
  <c r="G55" i="1" s="1"/>
  <c r="E53" i="1"/>
  <c r="G53" i="1" s="1"/>
  <c r="E51" i="1"/>
  <c r="G51" i="1" s="1"/>
  <c r="D36" i="1"/>
  <c r="E62" i="1"/>
  <c r="G62" i="1" s="1"/>
  <c r="E60" i="1"/>
  <c r="G60" i="1" s="1"/>
  <c r="E58" i="1"/>
  <c r="G58" i="1" s="1"/>
  <c r="E56" i="1"/>
  <c r="G56" i="1" s="1"/>
  <c r="E54" i="1"/>
  <c r="G54" i="1" s="1"/>
  <c r="E52" i="1"/>
  <c r="G52" i="1" s="1"/>
  <c r="Y40" i="1"/>
  <c r="AB65" i="1" s="1"/>
  <c r="Y37" i="1"/>
  <c r="AB59" i="1" s="1"/>
  <c r="Y35" i="1"/>
  <c r="O36" i="1"/>
  <c r="O37" i="1"/>
  <c r="R67" i="1" s="1"/>
  <c r="O62" i="1"/>
  <c r="Q62" i="1" s="1"/>
  <c r="O60" i="1"/>
  <c r="Q60" i="1" s="1"/>
  <c r="O58" i="1"/>
  <c r="Q58" i="1" s="1"/>
  <c r="O56" i="1"/>
  <c r="Q56" i="1" s="1"/>
  <c r="O54" i="1"/>
  <c r="Q54" i="1" s="1"/>
  <c r="O52" i="1"/>
  <c r="Q52" i="1" s="1"/>
  <c r="O35" i="1"/>
  <c r="O39" i="1"/>
  <c r="R53" i="1" s="1"/>
  <c r="O63" i="1"/>
  <c r="Q63" i="1" s="1"/>
  <c r="O61" i="1"/>
  <c r="Q61" i="1" s="1"/>
  <c r="O59" i="1"/>
  <c r="Q59" i="1" s="1"/>
  <c r="O57" i="1"/>
  <c r="Q57" i="1" s="1"/>
  <c r="O55" i="1"/>
  <c r="Q55" i="1" s="1"/>
  <c r="O53" i="1"/>
  <c r="Q53" i="1" s="1"/>
  <c r="O51" i="1"/>
  <c r="Q51" i="1" s="1"/>
  <c r="Y39" i="1"/>
  <c r="AB54" i="1" s="1"/>
  <c r="AB68" i="1" l="1"/>
  <c r="AB70" i="1"/>
  <c r="AB73" i="1"/>
  <c r="AB72" i="1"/>
  <c r="AB52" i="1"/>
  <c r="AW75" i="1"/>
  <c r="AX80" i="1" s="1"/>
  <c r="AX83" i="1" s="1"/>
  <c r="AT43" i="1" s="1"/>
  <c r="AT44" i="1" s="1"/>
  <c r="R51" i="1"/>
  <c r="AB61" i="1"/>
  <c r="AB56" i="1"/>
  <c r="AB60" i="1"/>
  <c r="AB53" i="1"/>
  <c r="AB57" i="1"/>
  <c r="AB69" i="1"/>
  <c r="AB66" i="1"/>
  <c r="AB50" i="1"/>
  <c r="AB58" i="1"/>
  <c r="AB74" i="1"/>
  <c r="AB55" i="1"/>
  <c r="AB71" i="1"/>
  <c r="AB67" i="1"/>
  <c r="AB64" i="1"/>
  <c r="AB62" i="1"/>
  <c r="AB51" i="1"/>
  <c r="AB63" i="1"/>
  <c r="AA50" i="1"/>
  <c r="AA64" i="1" s="1"/>
  <c r="O50" i="1"/>
  <c r="Q50" i="1" s="1"/>
  <c r="Q64" i="1" s="1"/>
  <c r="D35" i="1"/>
  <c r="D37" i="1"/>
  <c r="H67" i="1" s="1"/>
  <c r="O38" i="1"/>
  <c r="R54" i="1" s="1"/>
  <c r="E50" i="1"/>
  <c r="G50" i="1" s="1"/>
  <c r="G64" i="1" s="1"/>
  <c r="D38" i="1"/>
  <c r="D40" i="1"/>
  <c r="H64" i="1" s="1"/>
  <c r="D39" i="1"/>
  <c r="H53" i="1" s="1"/>
  <c r="O40" i="1"/>
  <c r="R64" i="1" s="1"/>
  <c r="R62" i="1"/>
  <c r="R56" i="1"/>
  <c r="R61" i="1"/>
  <c r="AI39" i="1"/>
  <c r="AL54" i="1" s="1"/>
  <c r="AI38" i="1"/>
  <c r="AL52" i="1" s="1"/>
  <c r="AK64" i="1"/>
  <c r="AI40" i="1"/>
  <c r="AL65" i="1" s="1"/>
  <c r="AI37" i="1"/>
  <c r="AL59" i="1" s="1"/>
  <c r="AC79" i="1"/>
  <c r="D17" i="1" l="1"/>
  <c r="AX77" i="1"/>
  <c r="AL68" i="1"/>
  <c r="AL73" i="1"/>
  <c r="AL72" i="1"/>
  <c r="AL70" i="1"/>
  <c r="AM79" i="1"/>
  <c r="R63" i="1"/>
  <c r="R59" i="1"/>
  <c r="R50" i="1"/>
  <c r="AL60" i="1"/>
  <c r="R69" i="1"/>
  <c r="AL64" i="1"/>
  <c r="AL67" i="1"/>
  <c r="AL71" i="1"/>
  <c r="AL61" i="1"/>
  <c r="H66" i="1"/>
  <c r="AL55" i="1"/>
  <c r="AL56" i="1"/>
  <c r="AL62" i="1"/>
  <c r="AL69" i="1"/>
  <c r="AL53" i="1"/>
  <c r="AL74" i="1"/>
  <c r="AL66" i="1"/>
  <c r="AL58" i="1"/>
  <c r="AL50" i="1"/>
  <c r="AL57" i="1"/>
  <c r="AL63" i="1"/>
  <c r="AL51" i="1"/>
  <c r="H51" i="1"/>
  <c r="R73" i="1"/>
  <c r="R66" i="1"/>
  <c r="H60" i="1"/>
  <c r="H74" i="1"/>
  <c r="R57" i="1"/>
  <c r="H56" i="1"/>
  <c r="R71" i="1"/>
  <c r="R58" i="1"/>
  <c r="R70" i="1"/>
  <c r="H55" i="1"/>
  <c r="R68" i="1"/>
  <c r="H65" i="1"/>
  <c r="R60" i="1"/>
  <c r="R72" i="1"/>
  <c r="R55" i="1"/>
  <c r="R52" i="1"/>
  <c r="H73" i="1"/>
  <c r="R65" i="1"/>
  <c r="R74" i="1"/>
  <c r="H50" i="1"/>
  <c r="H63" i="1"/>
  <c r="H59" i="1"/>
  <c r="H52" i="1"/>
  <c r="H54" i="1"/>
  <c r="H68" i="1"/>
  <c r="H69" i="1"/>
  <c r="H62" i="1"/>
  <c r="H70" i="1"/>
  <c r="H72" i="1"/>
  <c r="H61" i="1"/>
  <c r="H71" i="1"/>
  <c r="H58" i="1"/>
  <c r="H57" i="1"/>
  <c r="AB75" i="1"/>
  <c r="AC81" i="1" s="1"/>
  <c r="AC83" i="1" s="1"/>
  <c r="Y43" i="1" s="1"/>
  <c r="AL75" i="1" l="1"/>
  <c r="R75" i="1"/>
  <c r="S81" i="1" s="1"/>
  <c r="S83" i="1" s="1"/>
  <c r="H75" i="1"/>
  <c r="I80" i="1" s="1"/>
  <c r="I83" i="1" s="1"/>
  <c r="Y44" i="1"/>
  <c r="AM81" i="1"/>
  <c r="AM83" i="1" s="1"/>
  <c r="D11" i="1" l="1"/>
  <c r="AC77" i="1"/>
  <c r="D43" i="1"/>
  <c r="D44" i="1" s="1"/>
  <c r="O43" i="1"/>
  <c r="O44" i="1" s="1"/>
  <c r="AI43" i="1"/>
  <c r="AI44" i="1" s="1"/>
  <c r="D13" i="1" l="1"/>
  <c r="E12" i="1" s="1"/>
  <c r="S77" i="1"/>
  <c r="D15" i="1"/>
  <c r="AM77" i="1"/>
  <c r="D9" i="1"/>
  <c r="E10" i="1" s="1"/>
  <c r="I77" i="1"/>
  <c r="E14" i="1" l="1"/>
  <c r="E16" i="1"/>
  <c r="E19" i="1" l="1"/>
</calcChain>
</file>

<file path=xl/sharedStrings.xml><?xml version="1.0" encoding="utf-8"?>
<sst xmlns="http://schemas.openxmlformats.org/spreadsheetml/2006/main" count="664" uniqueCount="180">
  <si>
    <t>Neumond</t>
  </si>
  <si>
    <t>Erstes Viertel</t>
  </si>
  <si>
    <t>Vollmond</t>
  </si>
  <si>
    <t>Letztes Viertel</t>
  </si>
  <si>
    <t>Tage</t>
  </si>
  <si>
    <t>Jahre</t>
  </si>
  <si>
    <t>k(integer)</t>
  </si>
  <si>
    <t>NEUMOND</t>
  </si>
  <si>
    <t>VOLLMOND</t>
  </si>
  <si>
    <t>ERSTES VIERTEL</t>
  </si>
  <si>
    <t>LETZTES VIERTEL</t>
  </si>
  <si>
    <t>k</t>
  </si>
  <si>
    <t>T</t>
  </si>
  <si>
    <t>JDE</t>
  </si>
  <si>
    <t>E</t>
  </si>
  <si>
    <t>M</t>
  </si>
  <si>
    <t>M'</t>
  </si>
  <si>
    <t>F</t>
  </si>
  <si>
    <t>W</t>
  </si>
  <si>
    <t>A1</t>
  </si>
  <si>
    <t>M’</t>
  </si>
  <si>
    <t>A2</t>
  </si>
  <si>
    <t>A3</t>
  </si>
  <si>
    <t>2 M’</t>
  </si>
  <si>
    <t>A4</t>
  </si>
  <si>
    <t>2F</t>
  </si>
  <si>
    <t>A5</t>
  </si>
  <si>
    <t>M’ - M</t>
  </si>
  <si>
    <t>A6</t>
  </si>
  <si>
    <t>M’ +M</t>
  </si>
  <si>
    <t>A7</t>
  </si>
  <si>
    <t>2M</t>
  </si>
  <si>
    <t>A8</t>
  </si>
  <si>
    <t>M’ – 2F</t>
  </si>
  <si>
    <t>A9</t>
  </si>
  <si>
    <t>M’ + 2F</t>
  </si>
  <si>
    <t>A10</t>
  </si>
  <si>
    <t>2M’ +M</t>
  </si>
  <si>
    <t>A11</t>
  </si>
  <si>
    <t>3M’</t>
  </si>
  <si>
    <t>A12</t>
  </si>
  <si>
    <t>M + 2F</t>
  </si>
  <si>
    <t>A13</t>
  </si>
  <si>
    <t>M – 2F</t>
  </si>
  <si>
    <t>A14</t>
  </si>
  <si>
    <t>2M’ – M</t>
  </si>
  <si>
    <t>Ω</t>
  </si>
  <si>
    <t>M’ + 2M</t>
  </si>
  <si>
    <t>2M’ – 2F</t>
  </si>
  <si>
    <t>3M</t>
  </si>
  <si>
    <t>M’ + M – 2F</t>
  </si>
  <si>
    <t>2M’ + 2 F</t>
  </si>
  <si>
    <t>M’ + M + 2F</t>
  </si>
  <si>
    <t>M’ – m + 2F</t>
  </si>
  <si>
    <t>M’ – M – 2F</t>
  </si>
  <si>
    <t>3M’ + M</t>
  </si>
  <si>
    <t>4M’</t>
  </si>
  <si>
    <t xml:space="preserve">W  </t>
  </si>
  <si>
    <t>JD</t>
  </si>
  <si>
    <t>M' + M</t>
  </si>
  <si>
    <t>2 M'</t>
  </si>
  <si>
    <t xml:space="preserve">M' - M </t>
  </si>
  <si>
    <t xml:space="preserve">M' - 2F            </t>
  </si>
  <si>
    <t>M' + 2F</t>
  </si>
  <si>
    <t>2M' – M</t>
  </si>
  <si>
    <t xml:space="preserve">M - 2F </t>
  </si>
  <si>
    <t>M' + 2M</t>
  </si>
  <si>
    <t>2M' + M</t>
  </si>
  <si>
    <t>M' - M - 2F</t>
  </si>
  <si>
    <t>2M' + 2F</t>
  </si>
  <si>
    <t>M' + M + 2F</t>
  </si>
  <si>
    <t>M' - 2M</t>
  </si>
  <si>
    <t>M' + M - 2F</t>
  </si>
  <si>
    <t>2M' - 2F</t>
  </si>
  <si>
    <t>M'- M +2F</t>
  </si>
  <si>
    <t>3M' + M</t>
  </si>
  <si>
    <t>-0.62801</t>
  </si>
  <si>
    <t>+0.17172 x E</t>
  </si>
  <si>
    <t>-0.01183 x E</t>
  </si>
  <si>
    <t>+0.00862</t>
  </si>
  <si>
    <t>+0.00804</t>
  </si>
  <si>
    <t>+0.00454 x E</t>
  </si>
  <si>
    <t>-0.00180</t>
  </si>
  <si>
    <t>-0.00070</t>
  </si>
  <si>
    <t>-0.00040</t>
  </si>
  <si>
    <t>-0.00034 x E</t>
  </si>
  <si>
    <t>+0.00032 x E</t>
  </si>
  <si>
    <t>+0.00027 x E</t>
  </si>
  <si>
    <t>-0.00017</t>
  </si>
  <si>
    <t>-0.00005</t>
  </si>
  <si>
    <t>+0.00004</t>
  </si>
  <si>
    <t>-0.00004</t>
  </si>
  <si>
    <t>+0.00003</t>
  </si>
  <si>
    <t>+0.00002</t>
  </si>
  <si>
    <t>-0.00002</t>
  </si>
  <si>
    <t>+0.00204 x E2</t>
  </si>
  <si>
    <t>-0.00028 x E2</t>
  </si>
  <si>
    <t>x sin</t>
  </si>
  <si>
    <t>JD+0,5</t>
  </si>
  <si>
    <r>
      <t>+0,000325 x sin A</t>
    </r>
    <r>
      <rPr>
        <vertAlign val="subscript"/>
        <sz val="11"/>
        <color rgb="FF0070C0"/>
        <rFont val="Calibri"/>
        <family val="2"/>
        <scheme val="minor"/>
      </rPr>
      <t>1</t>
    </r>
  </si>
  <si>
    <r>
      <t>+0,000165 x sin A</t>
    </r>
    <r>
      <rPr>
        <vertAlign val="subscript"/>
        <sz val="11"/>
        <color rgb="FF0070C0"/>
        <rFont val="Calibri"/>
        <family val="2"/>
        <scheme val="minor"/>
      </rPr>
      <t>2</t>
    </r>
  </si>
  <si>
    <r>
      <t>+0,000164 x sin A</t>
    </r>
    <r>
      <rPr>
        <vertAlign val="subscript"/>
        <sz val="11"/>
        <color rgb="FF0070C0"/>
        <rFont val="Calibri"/>
        <family val="2"/>
        <scheme val="minor"/>
      </rPr>
      <t>3</t>
    </r>
  </si>
  <si>
    <r>
      <t>+0,000126 x sin A</t>
    </r>
    <r>
      <rPr>
        <vertAlign val="subscript"/>
        <sz val="11"/>
        <color rgb="FF0070C0"/>
        <rFont val="Calibri"/>
        <family val="2"/>
        <scheme val="minor"/>
      </rPr>
      <t>4</t>
    </r>
  </si>
  <si>
    <r>
      <t>+0,000110 x sin A</t>
    </r>
    <r>
      <rPr>
        <vertAlign val="subscript"/>
        <sz val="11"/>
        <color rgb="FF0070C0"/>
        <rFont val="Calibri"/>
        <family val="2"/>
        <scheme val="minor"/>
      </rPr>
      <t>5</t>
    </r>
  </si>
  <si>
    <r>
      <t>+0,000062 x sin A</t>
    </r>
    <r>
      <rPr>
        <vertAlign val="subscript"/>
        <sz val="11"/>
        <color rgb="FF0070C0"/>
        <rFont val="Calibri"/>
        <family val="2"/>
        <scheme val="minor"/>
      </rPr>
      <t>6</t>
    </r>
  </si>
  <si>
    <r>
      <t>+0,000060 x sin A</t>
    </r>
    <r>
      <rPr>
        <vertAlign val="subscript"/>
        <sz val="11"/>
        <color rgb="FF0070C0"/>
        <rFont val="Calibri"/>
        <family val="2"/>
        <scheme val="minor"/>
      </rPr>
      <t>7</t>
    </r>
  </si>
  <si>
    <r>
      <t>+0,000056 x sin A</t>
    </r>
    <r>
      <rPr>
        <vertAlign val="subscript"/>
        <sz val="11"/>
        <color rgb="FF0070C0"/>
        <rFont val="Calibri"/>
        <family val="2"/>
        <scheme val="minor"/>
      </rPr>
      <t>8</t>
    </r>
  </si>
  <si>
    <r>
      <t>+0,000047 x sin A</t>
    </r>
    <r>
      <rPr>
        <vertAlign val="subscript"/>
        <sz val="11"/>
        <color rgb="FF0070C0"/>
        <rFont val="Calibri"/>
        <family val="2"/>
        <scheme val="minor"/>
      </rPr>
      <t>9</t>
    </r>
  </si>
  <si>
    <r>
      <t>+0,000042 x sin A</t>
    </r>
    <r>
      <rPr>
        <vertAlign val="subscript"/>
        <sz val="11"/>
        <color rgb="FF0070C0"/>
        <rFont val="Calibri"/>
        <family val="2"/>
        <scheme val="minor"/>
      </rPr>
      <t>10</t>
    </r>
  </si>
  <si>
    <r>
      <t>+0,000040 x sin A</t>
    </r>
    <r>
      <rPr>
        <vertAlign val="subscript"/>
        <sz val="11"/>
        <color rgb="FF0070C0"/>
        <rFont val="Calibri"/>
        <family val="2"/>
        <scheme val="minor"/>
      </rPr>
      <t>11</t>
    </r>
  </si>
  <si>
    <r>
      <t>+0,000037 x sin A</t>
    </r>
    <r>
      <rPr>
        <vertAlign val="subscript"/>
        <sz val="11"/>
        <color rgb="FF0070C0"/>
        <rFont val="Calibri"/>
        <family val="2"/>
        <scheme val="minor"/>
      </rPr>
      <t>12</t>
    </r>
  </si>
  <si>
    <r>
      <t>+0,000035 x sin A</t>
    </r>
    <r>
      <rPr>
        <vertAlign val="subscript"/>
        <sz val="11"/>
        <color rgb="FF0070C0"/>
        <rFont val="Calibri"/>
        <family val="2"/>
        <scheme val="minor"/>
      </rPr>
      <t>13</t>
    </r>
  </si>
  <si>
    <r>
      <t>+0,000023 x sin A</t>
    </r>
    <r>
      <rPr>
        <vertAlign val="subscript"/>
        <sz val="11"/>
        <color rgb="FF0070C0"/>
        <rFont val="Calibri"/>
        <family val="2"/>
        <scheme val="minor"/>
      </rPr>
      <t>14</t>
    </r>
  </si>
  <si>
    <t>∑</t>
  </si>
  <si>
    <t>JD 01.01.2000</t>
  </si>
  <si>
    <t>JDE (korrigiert)</t>
  </si>
  <si>
    <t>Tage seit J2000</t>
  </si>
  <si>
    <t>DATUM</t>
  </si>
  <si>
    <t>Zeitzone</t>
  </si>
  <si>
    <t>-0.40720</t>
  </si>
  <si>
    <t>+0.17241 x E</t>
  </si>
  <si>
    <t>+0.01608</t>
  </si>
  <si>
    <t>+0.01039</t>
  </si>
  <si>
    <t>+0.00739 x E</t>
  </si>
  <si>
    <t>-0.00514 x E</t>
  </si>
  <si>
    <t>-0.00111</t>
  </si>
  <si>
    <t>-0.00057</t>
  </si>
  <si>
    <t>+0.00056 x E</t>
  </si>
  <si>
    <t>-0.00042</t>
  </si>
  <si>
    <t>+0.00042 x E</t>
  </si>
  <si>
    <t>+0.00038 x E</t>
  </si>
  <si>
    <t>-0.00024 x E</t>
  </si>
  <si>
    <t>-0.00007</t>
  </si>
  <si>
    <t>-0.00003</t>
  </si>
  <si>
    <r>
      <t>+0.00208 x E</t>
    </r>
    <r>
      <rPr>
        <vertAlign val="superscript"/>
        <sz val="11"/>
        <color rgb="FF0070C0"/>
        <rFont val="Calibri"/>
        <family val="2"/>
        <scheme val="minor"/>
      </rPr>
      <t>2</t>
    </r>
    <r>
      <rPr>
        <sz val="11"/>
        <color rgb="FF0070C0"/>
        <rFont val="Calibri"/>
        <family val="2"/>
        <scheme val="minor"/>
      </rPr>
      <t> </t>
    </r>
  </si>
  <si>
    <t>+0.17302 x E</t>
  </si>
  <si>
    <t>+0.01614</t>
  </si>
  <si>
    <t>+0.01043</t>
  </si>
  <si>
    <t>+0.00734 x E</t>
  </si>
  <si>
    <t>-0.00515 x E</t>
  </si>
  <si>
    <r>
      <t>+0.00209 x E</t>
    </r>
    <r>
      <rPr>
        <vertAlign val="superscript"/>
        <sz val="11"/>
        <color rgb="FF0070C0"/>
        <rFont val="Calibri"/>
        <family val="2"/>
        <scheme val="minor"/>
      </rPr>
      <t>2</t>
    </r>
    <r>
      <rPr>
        <sz val="11"/>
        <color rgb="FF0070C0"/>
        <rFont val="Calibri"/>
        <family val="2"/>
        <scheme val="minor"/>
      </rPr>
      <t> </t>
    </r>
  </si>
  <si>
    <t>MESZ  = UTC +2h</t>
  </si>
  <si>
    <t>MEZ    = UTC +1h</t>
  </si>
  <si>
    <r>
      <t>A</t>
    </r>
    <r>
      <rPr>
        <b/>
        <vertAlign val="subscript"/>
        <sz val="11"/>
        <color rgb="FF0070C0"/>
        <rFont val="Calibri"/>
        <family val="2"/>
        <scheme val="minor"/>
      </rPr>
      <t>1</t>
    </r>
    <r>
      <rPr>
        <sz val="11"/>
        <color rgb="FF0070C0"/>
        <rFont val="Calibri"/>
        <family val="2"/>
        <scheme val="minor"/>
      </rPr>
      <t xml:space="preserve"> = 299,77 + 0,107408 x k – 0,009173 T</t>
    </r>
    <r>
      <rPr>
        <vertAlign val="superscript"/>
        <sz val="11"/>
        <color rgb="FF0070C0"/>
        <rFont val="Calibri"/>
        <family val="2"/>
        <scheme val="minor"/>
      </rPr>
      <t>2</t>
    </r>
  </si>
  <si>
    <r>
      <t>A</t>
    </r>
    <r>
      <rPr>
        <b/>
        <vertAlign val="subscript"/>
        <sz val="11"/>
        <color rgb="FF0070C0"/>
        <rFont val="Calibri"/>
        <family val="2"/>
        <scheme val="minor"/>
      </rPr>
      <t>2</t>
    </r>
    <r>
      <rPr>
        <sz val="11"/>
        <color rgb="FF0070C0"/>
        <rFont val="Calibri"/>
        <family val="2"/>
        <scheme val="minor"/>
      </rPr>
      <t xml:space="preserve"> = 251,88 + 0,016321 x k</t>
    </r>
  </si>
  <si>
    <r>
      <t>A</t>
    </r>
    <r>
      <rPr>
        <b/>
        <vertAlign val="subscript"/>
        <sz val="11"/>
        <color rgb="FF0070C0"/>
        <rFont val="Calibri"/>
        <family val="2"/>
        <scheme val="minor"/>
      </rPr>
      <t>3</t>
    </r>
    <r>
      <rPr>
        <sz val="11"/>
        <color rgb="FF0070C0"/>
        <rFont val="Calibri"/>
        <family val="2"/>
        <scheme val="minor"/>
      </rPr>
      <t xml:space="preserve"> = 251,83 + 26,651886 x k</t>
    </r>
  </si>
  <si>
    <r>
      <t>A</t>
    </r>
    <r>
      <rPr>
        <b/>
        <vertAlign val="subscript"/>
        <sz val="11"/>
        <color rgb="FF0070C0"/>
        <rFont val="Calibri"/>
        <family val="2"/>
        <scheme val="minor"/>
      </rPr>
      <t>4</t>
    </r>
    <r>
      <rPr>
        <sz val="11"/>
        <color rgb="FF0070C0"/>
        <rFont val="Calibri"/>
        <family val="2"/>
        <scheme val="minor"/>
      </rPr>
      <t xml:space="preserve"> = 349,42 + 36,412478 x k</t>
    </r>
  </si>
  <si>
    <r>
      <t>A</t>
    </r>
    <r>
      <rPr>
        <b/>
        <vertAlign val="subscript"/>
        <sz val="11"/>
        <color rgb="FF0070C0"/>
        <rFont val="Calibri"/>
        <family val="2"/>
        <scheme val="minor"/>
      </rPr>
      <t>5</t>
    </r>
    <r>
      <rPr>
        <sz val="11"/>
        <color rgb="FF0070C0"/>
        <rFont val="Calibri"/>
        <family val="2"/>
        <scheme val="minor"/>
      </rPr>
      <t xml:space="preserve"> =   84,66 + 18,206239 x k</t>
    </r>
  </si>
  <si>
    <r>
      <t>A</t>
    </r>
    <r>
      <rPr>
        <b/>
        <vertAlign val="subscript"/>
        <sz val="11"/>
        <color rgb="FF0070C0"/>
        <rFont val="Calibri"/>
        <family val="2"/>
        <scheme val="minor"/>
      </rPr>
      <t>6</t>
    </r>
    <r>
      <rPr>
        <sz val="11"/>
        <color rgb="FF0070C0"/>
        <rFont val="Calibri"/>
        <family val="2"/>
        <scheme val="minor"/>
      </rPr>
      <t xml:space="preserve"> = 141,74 + 53,303771 x k</t>
    </r>
  </si>
  <si>
    <r>
      <t>A</t>
    </r>
    <r>
      <rPr>
        <b/>
        <vertAlign val="subscript"/>
        <sz val="11"/>
        <color rgb="FF0070C0"/>
        <rFont val="Calibri"/>
        <family val="2"/>
        <scheme val="minor"/>
      </rPr>
      <t>7</t>
    </r>
    <r>
      <rPr>
        <sz val="11"/>
        <color rgb="FF0070C0"/>
        <rFont val="Calibri"/>
        <family val="2"/>
        <scheme val="minor"/>
      </rPr>
      <t xml:space="preserve"> = 207,14 + 2,453732 x k</t>
    </r>
  </si>
  <si>
    <r>
      <t>A</t>
    </r>
    <r>
      <rPr>
        <b/>
        <vertAlign val="subscript"/>
        <sz val="11"/>
        <color rgb="FF0070C0"/>
        <rFont val="Calibri"/>
        <family val="2"/>
        <scheme val="minor"/>
      </rPr>
      <t>8</t>
    </r>
    <r>
      <rPr>
        <sz val="11"/>
        <color rgb="FF0070C0"/>
        <rFont val="Calibri"/>
        <family val="2"/>
        <scheme val="minor"/>
      </rPr>
      <t xml:space="preserve"> = 154,84 + 7,306860 x k</t>
    </r>
  </si>
  <si>
    <r>
      <t>A</t>
    </r>
    <r>
      <rPr>
        <b/>
        <vertAlign val="subscript"/>
        <sz val="11"/>
        <color rgb="FF0070C0"/>
        <rFont val="Calibri"/>
        <family val="2"/>
        <scheme val="minor"/>
      </rPr>
      <t>9</t>
    </r>
    <r>
      <rPr>
        <sz val="11"/>
        <color rgb="FF0070C0"/>
        <rFont val="Calibri"/>
        <family val="2"/>
        <scheme val="minor"/>
      </rPr>
      <t xml:space="preserve"> =   34,52 + 27,261239 x k</t>
    </r>
  </si>
  <si>
    <r>
      <t>A</t>
    </r>
    <r>
      <rPr>
        <b/>
        <vertAlign val="subscript"/>
        <sz val="11"/>
        <color rgb="FF0070C0"/>
        <rFont val="Calibri"/>
        <family val="2"/>
        <scheme val="minor"/>
      </rPr>
      <t>10</t>
    </r>
    <r>
      <rPr>
        <sz val="11"/>
        <color rgb="FF0070C0"/>
        <rFont val="Calibri"/>
        <family val="2"/>
        <scheme val="minor"/>
      </rPr>
      <t xml:space="preserve"> = 207,19 + 0,121824 x k</t>
    </r>
  </si>
  <si>
    <r>
      <t>A</t>
    </r>
    <r>
      <rPr>
        <b/>
        <vertAlign val="subscript"/>
        <sz val="11"/>
        <color rgb="FF0070C0"/>
        <rFont val="Calibri"/>
        <family val="2"/>
        <scheme val="minor"/>
      </rPr>
      <t>11</t>
    </r>
    <r>
      <rPr>
        <sz val="11"/>
        <color rgb="FF0070C0"/>
        <rFont val="Calibri"/>
        <family val="2"/>
        <scheme val="minor"/>
      </rPr>
      <t xml:space="preserve"> = 291,34 + 1,844379 x k</t>
    </r>
  </si>
  <si>
    <r>
      <t>A</t>
    </r>
    <r>
      <rPr>
        <b/>
        <vertAlign val="subscript"/>
        <sz val="11"/>
        <color rgb="FF0070C0"/>
        <rFont val="Calibri"/>
        <family val="2"/>
        <scheme val="minor"/>
      </rPr>
      <t>12</t>
    </r>
    <r>
      <rPr>
        <sz val="11"/>
        <color rgb="FF0070C0"/>
        <rFont val="Calibri"/>
        <family val="2"/>
        <scheme val="minor"/>
      </rPr>
      <t xml:space="preserve"> = 161,72 + 24,198154 x k</t>
    </r>
  </si>
  <si>
    <r>
      <t>A</t>
    </r>
    <r>
      <rPr>
        <b/>
        <vertAlign val="subscript"/>
        <sz val="11"/>
        <color rgb="FF0070C0"/>
        <rFont val="Calibri"/>
        <family val="2"/>
        <scheme val="minor"/>
      </rPr>
      <t>13</t>
    </r>
    <r>
      <rPr>
        <sz val="11"/>
        <color rgb="FF0070C0"/>
        <rFont val="Calibri"/>
        <family val="2"/>
        <scheme val="minor"/>
      </rPr>
      <t xml:space="preserve"> = 239,56 + 25,513099 x k</t>
    </r>
  </si>
  <si>
    <r>
      <t>A</t>
    </r>
    <r>
      <rPr>
        <b/>
        <vertAlign val="subscript"/>
        <sz val="11"/>
        <color rgb="FF0070C0"/>
        <rFont val="Calibri"/>
        <family val="2"/>
        <scheme val="minor"/>
      </rPr>
      <t>14</t>
    </r>
    <r>
      <rPr>
        <sz val="11"/>
        <color rgb="FF0070C0"/>
        <rFont val="Calibri"/>
        <family val="2"/>
        <scheme val="minor"/>
      </rPr>
      <t xml:space="preserve"> = 331,55 + 3,592518 x k</t>
    </r>
  </si>
  <si>
    <t>W = 0,00306 – (0,00038 x E x cos(M)) + (0,00026 x cos (M')) – (0,00002 x cos (M' - M))+ 0,00002 x cos (M' + M) + 0.00002 x cos (2F)</t>
  </si>
  <si>
    <t>Erstes Viertel: +W</t>
  </si>
  <si>
    <t>Letztes Viertel: -W</t>
  </si>
  <si>
    <t>Calculer les phases de la lune</t>
  </si>
  <si>
    <t>D’après Astronomical Algorithms de Jean Meeus</t>
  </si>
  <si>
    <t>Variante de Michel Gaudet</t>
  </si>
  <si>
    <t xml:space="preserve">Jean Meeus: </t>
  </si>
  <si>
    <t>Kapitel 47: Phases of the Moon</t>
  </si>
  <si>
    <t>Astronomical Algorithms</t>
  </si>
  <si>
    <t>William-Bell.Inc, Richmond/Virginia, USA 1991</t>
  </si>
  <si>
    <t>Lunation (Neumond - Neumond)</t>
  </si>
  <si>
    <t>JD = 2451545</t>
  </si>
  <si>
    <t>Ingo Mennerich, Dezember 2018</t>
  </si>
  <si>
    <t>Korrektur für die Halbphasen:</t>
  </si>
  <si>
    <t xml:space="preserve">Diese Excel-Datei kann frei heruntergeladen </t>
  </si>
  <si>
    <t xml:space="preserve">und weiter bearbeitet werden, bitte mit Angabe </t>
  </si>
  <si>
    <t>Grundlage:</t>
  </si>
  <si>
    <t>*</t>
  </si>
  <si>
    <t>UTC (GMT) = 0</t>
  </si>
  <si>
    <r>
      <t>*) Die Ergebnisse können bei Neu- und Vollmond leicht, im Ersten und Letzten Viertel etwas stärker von den in professionellen Astronomieprogrammen ausgeworfenen Zeiten abweichen (z.B.</t>
    </r>
    <r>
      <rPr>
        <sz val="10"/>
        <color rgb="FF0070C0"/>
        <rFont val="Calibri"/>
        <family val="2"/>
        <scheme val="minor"/>
      </rPr>
      <t>http://astropixels.com/ephemeris/phasescat/phases1901.html</t>
    </r>
    <r>
      <rPr>
        <sz val="10"/>
        <color theme="1"/>
        <rFont val="Calibri"/>
        <family val="2"/>
        <scheme val="minor"/>
      </rPr>
      <t xml:space="preserve">)Die Differenzen liegen trotz sorgfältiger Übertragung der für eine Genauigkeit von Sekunden bekannten Meeus´schen Algorithmen leider immer noch im Bereich von  etwa 10 Minuten. Da die Mond-phase aber selbst mit guten Teleskopen nurungenau bestimmt werden kann fällt das hier nicht ins Gewicht. Wir arbeiten an einer verbesserten Version. </t>
    </r>
  </si>
  <si>
    <t xml:space="preserve">der Quelle(n) und gerne mit einer Ruckmeldung an </t>
  </si>
  <si>
    <t>das Schulbiologiezentrum Hannover</t>
  </si>
  <si>
    <r>
      <t xml:space="preserve">Das Programm errechnet nach Eingabe eines </t>
    </r>
    <r>
      <rPr>
        <b/>
        <sz val="10"/>
        <color theme="1"/>
        <rFont val="Calibri"/>
        <family val="2"/>
        <scheme val="minor"/>
      </rPr>
      <t xml:space="preserve">Datums </t>
    </r>
    <r>
      <rPr>
        <sz val="10"/>
        <color theme="1"/>
        <rFont val="Calibri"/>
        <family val="2"/>
        <scheme val="minor"/>
      </rPr>
      <t xml:space="preserve">(ab 1900) und der </t>
    </r>
    <r>
      <rPr>
        <b/>
        <sz val="10"/>
        <color theme="1"/>
        <rFont val="Calibri"/>
        <family val="2"/>
        <scheme val="minor"/>
      </rPr>
      <t xml:space="preserve">Zeitzone </t>
    </r>
    <r>
      <rPr>
        <sz val="10"/>
        <color theme="1"/>
        <rFont val="Calibri"/>
        <family val="2"/>
        <scheme val="minor"/>
      </rPr>
      <t xml:space="preserve">den Zeitpunkt des vorangegangen Neumondes, des Ersten Viertels, des Vollmondes, des Letzten Viertels und des nachfolgenden Neumondes. Damit kann auch die Zeitspanne zwischen den Phasen und die Dauer der Lunation (Neumond - Neumond) bestimmt werden.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</si>
</sst>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00"/>
    <numFmt numFmtId="166" formatCode="dd\ mmmm"/>
    <numFmt numFmtId="167" formatCode="0.0000000"/>
    <numFmt numFmtId="168" formatCode="0.0000000000"/>
    <numFmt numFmtId="169" formatCode="0.000"/>
  </numFmts>
  <fonts count="35" x14ac:knownFonts="1">
    <font>
      <sz val="11"/>
      <color theme="1"/>
      <name val="Calibri"/>
      <family val="2"/>
      <scheme val="minor"/>
    </font>
    <font>
      <sz val="12"/>
      <name val="Times New Roman"/>
      <family val="1"/>
    </font>
    <font>
      <b/>
      <sz val="12"/>
      <color indexed="12"/>
      <name val="Times New Roman"/>
      <family val="1"/>
    </font>
    <font>
      <b/>
      <sz val="12"/>
      <name val="Times New Roman"/>
      <family val="1"/>
    </font>
    <font>
      <b/>
      <sz val="12"/>
      <color indexed="10"/>
      <name val="Times New Roman"/>
      <family val="1"/>
    </font>
    <font>
      <sz val="12"/>
      <name val="Times New Roman"/>
    </font>
    <font>
      <sz val="12"/>
      <name val="Symbol"/>
      <family val="1"/>
      <charset val="2"/>
    </font>
    <font>
      <sz val="12"/>
      <color rgb="FFFF0000"/>
      <name val="Times New Roman"/>
      <family val="1"/>
    </font>
    <font>
      <sz val="12"/>
      <color rgb="FF0070C0"/>
      <name val="Times New Roman"/>
      <family val="1"/>
    </font>
    <font>
      <sz val="14"/>
      <name val="Times New Roman"/>
      <family val="1"/>
    </font>
    <font>
      <b/>
      <sz val="12"/>
      <color indexed="57"/>
      <name val="Times New Roman"/>
      <family val="1"/>
    </font>
    <font>
      <sz val="11"/>
      <color rgb="FFFF0000"/>
      <name val="Calibri"/>
      <family val="2"/>
      <scheme val="minor"/>
    </font>
    <font>
      <sz val="12"/>
      <color rgb="FF00B050"/>
      <name val="Times New Roman"/>
      <family val="1"/>
    </font>
    <font>
      <sz val="11"/>
      <color rgb="FF0070C0"/>
      <name val="Calibri"/>
      <family val="2"/>
      <scheme val="minor"/>
    </font>
    <font>
      <vertAlign val="subscript"/>
      <sz val="11"/>
      <color rgb="FF0070C0"/>
      <name val="Calibri"/>
      <family val="2"/>
      <scheme val="minor"/>
    </font>
    <font>
      <sz val="12"/>
      <color rgb="FFFF0000"/>
      <name val="Calibri"/>
      <family val="2"/>
      <scheme val="minor"/>
    </font>
    <font>
      <sz val="11"/>
      <color rgb="FFFF0000"/>
      <name val="Arial"/>
      <family val="2"/>
    </font>
    <font>
      <b/>
      <sz val="11"/>
      <color theme="1"/>
      <name val="Calibri"/>
      <family val="2"/>
      <scheme val="minor"/>
    </font>
    <font>
      <sz val="10"/>
      <color rgb="FF0070C0"/>
      <name val="Calibri"/>
      <family val="2"/>
      <scheme val="minor"/>
    </font>
    <font>
      <vertAlign val="superscript"/>
      <sz val="11"/>
      <color rgb="FF0070C0"/>
      <name val="Calibri"/>
      <family val="2"/>
      <scheme val="minor"/>
    </font>
    <font>
      <sz val="11"/>
      <name val="Calibri"/>
      <family val="2"/>
      <scheme val="minor"/>
    </font>
    <font>
      <b/>
      <sz val="12"/>
      <name val="Calibri"/>
      <family val="2"/>
      <scheme val="minor"/>
    </font>
    <font>
      <b/>
      <sz val="12"/>
      <color indexed="10"/>
      <name val="Calibri"/>
      <family val="2"/>
      <scheme val="minor"/>
    </font>
    <font>
      <sz val="16"/>
      <color theme="1"/>
      <name val="Calibri"/>
      <family val="2"/>
      <scheme val="minor"/>
    </font>
    <font>
      <sz val="18"/>
      <color theme="1"/>
      <name val="Calibri"/>
      <family val="2"/>
      <scheme val="minor"/>
    </font>
    <font>
      <sz val="24"/>
      <color theme="1"/>
      <name val="Calibri"/>
      <family val="2"/>
      <scheme val="minor"/>
    </font>
    <font>
      <sz val="24"/>
      <name val="Calibri"/>
      <family val="2"/>
      <scheme val="minor"/>
    </font>
    <font>
      <sz val="11"/>
      <color rgb="FF000000"/>
      <name val="Calibri"/>
      <family val="2"/>
      <scheme val="minor"/>
    </font>
    <font>
      <b/>
      <sz val="11"/>
      <name val="Calibri"/>
      <family val="2"/>
      <scheme val="minor"/>
    </font>
    <font>
      <b/>
      <sz val="11"/>
      <color rgb="FF0070C0"/>
      <name val="Calibri"/>
      <family val="2"/>
      <scheme val="minor"/>
    </font>
    <font>
      <b/>
      <vertAlign val="subscript"/>
      <sz val="11"/>
      <color rgb="FF0070C0"/>
      <name val="Calibri"/>
      <family val="2"/>
      <scheme val="minor"/>
    </font>
    <font>
      <sz val="11"/>
      <color rgb="FF00B050"/>
      <name val="Calibri"/>
      <family val="2"/>
      <scheme val="minor"/>
    </font>
    <font>
      <sz val="14"/>
      <name val="Calibri"/>
      <family val="2"/>
      <scheme val="minor"/>
    </font>
    <font>
      <sz val="10"/>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0" tint="-0.249977111117893"/>
        <bgColor indexed="64"/>
      </patternFill>
    </fill>
    <fill>
      <patternFill patternType="solid">
        <fgColor theme="1"/>
        <bgColor indexed="64"/>
      </patternFill>
    </fill>
    <fill>
      <patternFill patternType="solid">
        <fgColor rgb="FFFFCC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0" fillId="0" borderId="0" xfId="0" applyBorder="1"/>
    <xf numFmtId="0" fontId="0" fillId="0" borderId="0" xfId="0" applyAlignment="1">
      <alignment horizontal="center"/>
    </xf>
    <xf numFmtId="0" fontId="0" fillId="0" borderId="0" xfId="0" applyAlignment="1">
      <alignment horizontal="left"/>
    </xf>
    <xf numFmtId="0" fontId="1" fillId="0" borderId="0" xfId="0" applyFont="1"/>
    <xf numFmtId="0" fontId="0" fillId="0" borderId="0" xfId="0" quotePrefix="1" applyBorder="1" applyAlignment="1">
      <alignment horizontal="center"/>
    </xf>
    <xf numFmtId="164" fontId="0" fillId="0" borderId="0" xfId="0" applyNumberFormat="1"/>
    <xf numFmtId="0" fontId="4" fillId="0" borderId="0" xfId="0" applyFont="1"/>
    <xf numFmtId="166" fontId="5" fillId="0" borderId="0" xfId="0" applyNumberFormat="1" applyFont="1" applyBorder="1" applyAlignment="1">
      <alignment horizontal="center"/>
    </xf>
    <xf numFmtId="164" fontId="0" fillId="0" borderId="0" xfId="0" applyNumberFormat="1" applyBorder="1"/>
    <xf numFmtId="1" fontId="0" fillId="0" borderId="0" xfId="0" applyNumberFormat="1"/>
    <xf numFmtId="165" fontId="0" fillId="0" borderId="0" xfId="0" applyNumberFormat="1"/>
    <xf numFmtId="167" fontId="0" fillId="0" borderId="0" xfId="0" applyNumberFormat="1"/>
    <xf numFmtId="0" fontId="6" fillId="0" borderId="0" xfId="0" applyFont="1" applyAlignment="1">
      <alignment horizontal="center"/>
    </xf>
    <xf numFmtId="0" fontId="7" fillId="0" borderId="0" xfId="0" applyFont="1"/>
    <xf numFmtId="0" fontId="3" fillId="0" borderId="0" xfId="0" applyFont="1" applyAlignment="1">
      <alignment horizontal="center"/>
    </xf>
    <xf numFmtId="164" fontId="8" fillId="0" borderId="0" xfId="0" applyNumberFormat="1" applyFont="1"/>
    <xf numFmtId="0" fontId="8" fillId="0" borderId="0" xfId="0" applyFont="1"/>
    <xf numFmtId="0" fontId="0" fillId="0" borderId="0" xfId="0" quotePrefix="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xf numFmtId="0" fontId="2" fillId="0" borderId="0" xfId="0" applyFont="1"/>
    <xf numFmtId="0" fontId="0" fillId="0" borderId="0" xfId="0" applyBorder="1" applyAlignment="1">
      <alignment horizontal="center"/>
    </xf>
    <xf numFmtId="0" fontId="0" fillId="0" borderId="0" xfId="0" applyFont="1"/>
    <xf numFmtId="168" fontId="0" fillId="0" borderId="0" xfId="0" applyNumberFormat="1"/>
    <xf numFmtId="0" fontId="13" fillId="4" borderId="0" xfId="0" applyFont="1" applyFill="1" applyBorder="1" applyAlignment="1">
      <alignment vertical="center" wrapText="1"/>
    </xf>
    <xf numFmtId="0" fontId="13" fillId="4"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14" fontId="0" fillId="0" borderId="0" xfId="0" applyNumberFormat="1" applyFill="1" applyAlignment="1">
      <alignment horizontal="center"/>
    </xf>
    <xf numFmtId="0" fontId="1" fillId="0" borderId="0" xfId="0" applyFont="1" applyFill="1"/>
    <xf numFmtId="22" fontId="0" fillId="0" borderId="0" xfId="0" applyNumberFormat="1" applyFill="1"/>
    <xf numFmtId="0" fontId="0" fillId="0" borderId="0" xfId="0" applyFill="1"/>
    <xf numFmtId="0" fontId="12" fillId="0" borderId="0" xfId="0" applyFont="1" applyFill="1"/>
    <xf numFmtId="0" fontId="13" fillId="0" borderId="0" xfId="0" applyFont="1" applyBorder="1" applyAlignment="1">
      <alignment vertical="center" wrapText="1"/>
    </xf>
    <xf numFmtId="0" fontId="20" fillId="0" borderId="0" xfId="0" applyFont="1"/>
    <xf numFmtId="0" fontId="13" fillId="4" borderId="0" xfId="0" applyFont="1" applyFill="1" applyBorder="1" applyAlignment="1">
      <alignment horizontal="left" vertical="center" wrapText="1"/>
    </xf>
    <xf numFmtId="0" fontId="21" fillId="0" borderId="0" xfId="0" applyFont="1"/>
    <xf numFmtId="0" fontId="0" fillId="0" borderId="0" xfId="0" applyFont="1" applyAlignment="1">
      <alignment horizontal="center"/>
    </xf>
    <xf numFmtId="0" fontId="21" fillId="0" borderId="0" xfId="0" applyFont="1" applyAlignment="1">
      <alignment horizontal="left"/>
    </xf>
    <xf numFmtId="0" fontId="22" fillId="0" borderId="0" xfId="0" applyFont="1" applyAlignment="1">
      <alignment horizontal="center"/>
    </xf>
    <xf numFmtId="167" fontId="21" fillId="0" borderId="0" xfId="0" applyNumberFormat="1" applyFont="1" applyAlignment="1">
      <alignment horizontal="left"/>
    </xf>
    <xf numFmtId="0" fontId="0" fillId="0" borderId="0" xfId="0" applyFont="1" applyAlignment="1">
      <alignment horizontal="left"/>
    </xf>
    <xf numFmtId="0" fontId="4" fillId="5" borderId="0" xfId="0" applyFont="1" applyFill="1"/>
    <xf numFmtId="0" fontId="0" fillId="5" borderId="0" xfId="0" applyFill="1" applyBorder="1"/>
    <xf numFmtId="166" fontId="5" fillId="5" borderId="0" xfId="0" applyNumberFormat="1" applyFont="1" applyFill="1" applyBorder="1" applyAlignment="1">
      <alignment horizontal="center"/>
    </xf>
    <xf numFmtId="164" fontId="0" fillId="5" borderId="0" xfId="0" applyNumberFormat="1" applyFill="1" applyBorder="1"/>
    <xf numFmtId="0" fontId="0" fillId="5" borderId="0" xfId="0" applyFill="1"/>
    <xf numFmtId="0" fontId="0" fillId="5" borderId="0" xfId="0" applyFill="1" applyAlignment="1">
      <alignment horizontal="center"/>
    </xf>
    <xf numFmtId="0" fontId="0" fillId="5" borderId="0" xfId="0" applyFill="1" applyAlignment="1">
      <alignment horizontal="left"/>
    </xf>
    <xf numFmtId="0" fontId="12" fillId="5" borderId="0" xfId="0" applyFont="1" applyFill="1"/>
    <xf numFmtId="0" fontId="8" fillId="0" borderId="0" xfId="0" applyFont="1" applyBorder="1"/>
    <xf numFmtId="0" fontId="9" fillId="0" borderId="0" xfId="0" applyFont="1" applyBorder="1" applyAlignment="1">
      <alignment horizontal="center"/>
    </xf>
    <xf numFmtId="0" fontId="1" fillId="0" borderId="0" xfId="0" applyFont="1" applyBorder="1"/>
    <xf numFmtId="0" fontId="2" fillId="0" borderId="0" xfId="0" applyFont="1" applyBorder="1" applyAlignment="1">
      <alignment horizontal="center"/>
    </xf>
    <xf numFmtId="0" fontId="4" fillId="0" borderId="0" xfId="0" applyFont="1" applyBorder="1"/>
    <xf numFmtId="0" fontId="10" fillId="0" borderId="0" xfId="0" applyFont="1" applyBorder="1"/>
    <xf numFmtId="0" fontId="2" fillId="0" borderId="0" xfId="0" applyFont="1" applyBorder="1"/>
    <xf numFmtId="0" fontId="0" fillId="0" borderId="0" xfId="0" applyBorder="1" applyAlignment="1">
      <alignment horizontal="left"/>
    </xf>
    <xf numFmtId="22" fontId="0" fillId="0" borderId="0" xfId="0" applyNumberFormat="1" applyBorder="1"/>
    <xf numFmtId="0" fontId="4" fillId="0" borderId="0" xfId="0" applyFont="1" applyBorder="1" applyAlignment="1">
      <alignment horizontal="center"/>
    </xf>
    <xf numFmtId="0" fontId="0" fillId="6" borderId="0" xfId="0" applyFill="1"/>
    <xf numFmtId="0" fontId="0" fillId="6" borderId="0" xfId="0" applyFont="1" applyFill="1"/>
    <xf numFmtId="0" fontId="0" fillId="6" borderId="0" xfId="0" applyFill="1" applyAlignment="1">
      <alignment horizontal="left"/>
    </xf>
    <xf numFmtId="0" fontId="0" fillId="6" borderId="0" xfId="0" applyFont="1" applyFill="1" applyAlignment="1">
      <alignment horizontal="left"/>
    </xf>
    <xf numFmtId="164" fontId="0" fillId="6" borderId="0" xfId="0" applyNumberFormat="1" applyFill="1" applyBorder="1"/>
    <xf numFmtId="0" fontId="0" fillId="7" borderId="0" xfId="0" applyFill="1"/>
    <xf numFmtId="0" fontId="0" fillId="7" borderId="0" xfId="0" applyFont="1" applyFill="1"/>
    <xf numFmtId="0" fontId="8" fillId="7" borderId="0" xfId="0" applyFont="1" applyFill="1"/>
    <xf numFmtId="0" fontId="1" fillId="5" borderId="0" xfId="0" applyFont="1" applyFill="1"/>
    <xf numFmtId="164" fontId="0" fillId="0" borderId="0" xfId="0" applyNumberFormat="1" applyFill="1" applyBorder="1"/>
    <xf numFmtId="0" fontId="0" fillId="0" borderId="0" xfId="0" applyFill="1" applyAlignment="1">
      <alignment horizontal="left"/>
    </xf>
    <xf numFmtId="0" fontId="24" fillId="0" borderId="0" xfId="0" applyFont="1"/>
    <xf numFmtId="0" fontId="26" fillId="0" borderId="0" xfId="0" applyFont="1"/>
    <xf numFmtId="164" fontId="0" fillId="7" borderId="0" xfId="0" applyNumberFormat="1" applyFill="1"/>
    <xf numFmtId="14" fontId="24" fillId="2" borderId="1" xfId="0" applyNumberFormat="1" applyFont="1" applyFill="1" applyBorder="1" applyAlignment="1">
      <alignment horizontal="center"/>
    </xf>
    <xf numFmtId="14" fontId="24" fillId="0" borderId="0" xfId="0" applyNumberFormat="1" applyFont="1" applyFill="1" applyAlignment="1">
      <alignment horizontal="left"/>
    </xf>
    <xf numFmtId="0" fontId="0" fillId="0" borderId="0" xfId="0" quotePrefix="1" applyBorder="1" applyAlignment="1">
      <alignment horizontal="left"/>
    </xf>
    <xf numFmtId="14" fontId="0" fillId="0" borderId="0" xfId="0" applyNumberFormat="1" applyFill="1" applyAlignment="1">
      <alignment horizontal="left"/>
    </xf>
    <xf numFmtId="164" fontId="15" fillId="0" borderId="0" xfId="0" applyNumberFormat="1" applyFont="1"/>
    <xf numFmtId="2" fontId="0" fillId="0" borderId="0" xfId="0" applyNumberFormat="1" applyAlignment="1">
      <alignment horizontal="center"/>
    </xf>
    <xf numFmtId="0" fontId="0" fillId="0" borderId="0" xfId="0" applyFont="1" applyFill="1"/>
    <xf numFmtId="168" fontId="0" fillId="0" borderId="0" xfId="0" applyNumberFormat="1" applyAlignment="1">
      <alignment horizontal="left"/>
    </xf>
    <xf numFmtId="168" fontId="11" fillId="0" borderId="0" xfId="0" applyNumberFormat="1" applyFont="1" applyAlignment="1">
      <alignment horizontal="left"/>
    </xf>
    <xf numFmtId="169" fontId="11" fillId="0" borderId="0" xfId="0" applyNumberFormat="1" applyFont="1"/>
    <xf numFmtId="168" fontId="11" fillId="0" borderId="0" xfId="0" applyNumberFormat="1" applyFont="1"/>
    <xf numFmtId="168" fontId="0" fillId="0" borderId="0" xfId="0" applyNumberFormat="1" applyFont="1"/>
    <xf numFmtId="0" fontId="28" fillId="0" borderId="0" xfId="0" quotePrefix="1" applyFont="1" applyAlignment="1">
      <alignment horizontal="center"/>
    </xf>
    <xf numFmtId="168" fontId="20" fillId="0" borderId="0" xfId="0" applyNumberFormat="1" applyFont="1" applyAlignment="1">
      <alignment horizontal="left"/>
    </xf>
    <xf numFmtId="0" fontId="29" fillId="4" borderId="0" xfId="0" applyFont="1" applyFill="1" applyBorder="1" applyAlignment="1">
      <alignment vertical="center" wrapText="1"/>
    </xf>
    <xf numFmtId="0" fontId="23" fillId="2" borderId="1" xfId="0" applyFont="1" applyFill="1" applyBorder="1" applyAlignment="1">
      <alignment horizontal="center"/>
    </xf>
    <xf numFmtId="0" fontId="0" fillId="0" borderId="0" xfId="0" applyFill="1" applyBorder="1" applyAlignment="1"/>
    <xf numFmtId="0" fontId="0" fillId="0" borderId="0" xfId="0" applyFill="1" applyBorder="1"/>
    <xf numFmtId="166" fontId="5" fillId="0" borderId="0" xfId="0" applyNumberFormat="1" applyFont="1" applyFill="1" applyBorder="1" applyAlignment="1">
      <alignment horizontal="center"/>
    </xf>
    <xf numFmtId="0" fontId="27" fillId="0" borderId="0" xfId="0" applyFont="1"/>
    <xf numFmtId="0" fontId="31" fillId="0" borderId="0" xfId="0" applyFont="1" applyFill="1"/>
    <xf numFmtId="22" fontId="25" fillId="8" borderId="0" xfId="0" applyNumberFormat="1" applyFont="1" applyFill="1" applyAlignment="1">
      <alignment horizontal="center"/>
    </xf>
    <xf numFmtId="22" fontId="25" fillId="3" borderId="0" xfId="0" applyNumberFormat="1" applyFont="1" applyFill="1" applyAlignment="1">
      <alignment horizontal="center"/>
    </xf>
    <xf numFmtId="22" fontId="11" fillId="0" borderId="0" xfId="0" applyNumberFormat="1" applyFont="1"/>
    <xf numFmtId="168" fontId="0" fillId="0" borderId="0" xfId="0" applyNumberFormat="1" applyAlignment="1">
      <alignment horizontal="right"/>
    </xf>
    <xf numFmtId="168" fontId="11" fillId="0" borderId="0" xfId="0" applyNumberFormat="1" applyFont="1" applyAlignment="1">
      <alignment horizontal="right"/>
    </xf>
    <xf numFmtId="0" fontId="0" fillId="0" borderId="0" xfId="0" applyAlignment="1">
      <alignment horizontal="right"/>
    </xf>
    <xf numFmtId="0" fontId="26" fillId="0" borderId="0" xfId="0" applyFont="1" applyFill="1"/>
    <xf numFmtId="22" fontId="25" fillId="0" borderId="0" xfId="0" applyNumberFormat="1" applyFont="1" applyFill="1" applyAlignment="1">
      <alignment horizontal="center"/>
    </xf>
    <xf numFmtId="0" fontId="0" fillId="0" borderId="0" xfId="0" applyFill="1" applyAlignment="1">
      <alignment horizontal="center"/>
    </xf>
    <xf numFmtId="169" fontId="32" fillId="0" borderId="0" xfId="0" applyNumberFormat="1" applyFont="1" applyFill="1"/>
    <xf numFmtId="0" fontId="17" fillId="0" borderId="0" xfId="0" applyFont="1" applyAlignment="1">
      <alignment horizontal="left"/>
    </xf>
    <xf numFmtId="0" fontId="0" fillId="0" borderId="0" xfId="0" quotePrefix="1" applyFont="1" applyBorder="1" applyAlignment="1">
      <alignment horizontal="center"/>
    </xf>
    <xf numFmtId="0" fontId="27" fillId="0" borderId="0" xfId="0" applyFont="1" applyAlignment="1">
      <alignment horizontal="left" vertical="center"/>
    </xf>
    <xf numFmtId="164" fontId="8" fillId="0" borderId="0" xfId="0" applyNumberFormat="1" applyFont="1" applyFill="1"/>
    <xf numFmtId="164" fontId="0" fillId="0" borderId="0" xfId="0" applyNumberFormat="1" applyFill="1"/>
    <xf numFmtId="0" fontId="8" fillId="0" borderId="0" xfId="0" applyFont="1" applyFill="1"/>
    <xf numFmtId="0" fontId="33" fillId="4" borderId="0" xfId="0" applyFont="1" applyFill="1" applyAlignment="1">
      <alignment vertical="top" wrapText="1"/>
    </xf>
    <xf numFmtId="0" fontId="0" fillId="4" borderId="0" xfId="0" applyFill="1" applyAlignment="1">
      <alignment vertical="top" wrapText="1"/>
    </xf>
    <xf numFmtId="0" fontId="0" fillId="0" borderId="0" xfId="0" applyAlignment="1"/>
  </cellXfs>
  <cellStyles count="1">
    <cellStyle name="Standard" xfId="0" builtinId="0"/>
  </cellStyles>
  <dxfs count="0"/>
  <tableStyles count="0" defaultTableStyle="TableStyleMedium2" defaultPivotStyle="PivotStyleLight16"/>
  <colors>
    <mruColors>
      <color rgb="FFFFCC66"/>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32</xdr:row>
      <xdr:rowOff>0</xdr:rowOff>
    </xdr:from>
    <xdr:to>
      <xdr:col>6</xdr:col>
      <xdr:colOff>142705</xdr:colOff>
      <xdr:row>39</xdr:row>
      <xdr:rowOff>28405</xdr:rowOff>
    </xdr:to>
    <xdr:pic>
      <xdr:nvPicPr>
        <xdr:cNvPr id="15" name="Grafik 14"/>
        <xdr:cNvPicPr>
          <a:picLocks noChangeAspect="1"/>
        </xdr:cNvPicPr>
      </xdr:nvPicPr>
      <xdr:blipFill>
        <a:blip xmlns:r="http://schemas.openxmlformats.org/officeDocument/2006/relationships" r:embed="rId1"/>
        <a:stretch>
          <a:fillRect/>
        </a:stretch>
      </xdr:blipFill>
      <xdr:spPr>
        <a:xfrm>
          <a:off x="5572125" y="7429500"/>
          <a:ext cx="1361905" cy="1361905"/>
        </a:xfrm>
        <a:prstGeom prst="rect">
          <a:avLst/>
        </a:prstGeom>
      </xdr:spPr>
    </xdr:pic>
    <xdr:clientData/>
  </xdr:twoCellAnchor>
  <xdr:twoCellAnchor editAs="oneCell">
    <xdr:from>
      <xdr:col>16</xdr:col>
      <xdr:colOff>0</xdr:colOff>
      <xdr:row>32</xdr:row>
      <xdr:rowOff>0</xdr:rowOff>
    </xdr:from>
    <xdr:to>
      <xdr:col>17</xdr:col>
      <xdr:colOff>371305</xdr:colOff>
      <xdr:row>39</xdr:row>
      <xdr:rowOff>28405</xdr:rowOff>
    </xdr:to>
    <xdr:pic>
      <xdr:nvPicPr>
        <xdr:cNvPr id="16" name="Grafik 15"/>
        <xdr:cNvPicPr>
          <a:picLocks noChangeAspect="1"/>
        </xdr:cNvPicPr>
      </xdr:nvPicPr>
      <xdr:blipFill>
        <a:blip xmlns:r="http://schemas.openxmlformats.org/officeDocument/2006/relationships" r:embed="rId2"/>
        <a:stretch>
          <a:fillRect/>
        </a:stretch>
      </xdr:blipFill>
      <xdr:spPr>
        <a:xfrm>
          <a:off x="16468725" y="7429500"/>
          <a:ext cx="1361905" cy="1361905"/>
        </a:xfrm>
        <a:prstGeom prst="rect">
          <a:avLst/>
        </a:prstGeom>
      </xdr:spPr>
    </xdr:pic>
    <xdr:clientData/>
  </xdr:twoCellAnchor>
  <xdr:twoCellAnchor editAs="oneCell">
    <xdr:from>
      <xdr:col>26</xdr:col>
      <xdr:colOff>0</xdr:colOff>
      <xdr:row>32</xdr:row>
      <xdr:rowOff>0</xdr:rowOff>
    </xdr:from>
    <xdr:to>
      <xdr:col>27</xdr:col>
      <xdr:colOff>352255</xdr:colOff>
      <xdr:row>39</xdr:row>
      <xdr:rowOff>28405</xdr:rowOff>
    </xdr:to>
    <xdr:pic>
      <xdr:nvPicPr>
        <xdr:cNvPr id="17" name="Grafik 16"/>
        <xdr:cNvPicPr>
          <a:picLocks noChangeAspect="1"/>
        </xdr:cNvPicPr>
      </xdr:nvPicPr>
      <xdr:blipFill>
        <a:blip xmlns:r="http://schemas.openxmlformats.org/officeDocument/2006/relationships" r:embed="rId3"/>
        <a:stretch>
          <a:fillRect/>
        </a:stretch>
      </xdr:blipFill>
      <xdr:spPr>
        <a:xfrm>
          <a:off x="25746075" y="7429500"/>
          <a:ext cx="1361905" cy="1361905"/>
        </a:xfrm>
        <a:prstGeom prst="rect">
          <a:avLst/>
        </a:prstGeom>
      </xdr:spPr>
    </xdr:pic>
    <xdr:clientData/>
  </xdr:twoCellAnchor>
  <xdr:twoCellAnchor editAs="oneCell">
    <xdr:from>
      <xdr:col>36</xdr:col>
      <xdr:colOff>0</xdr:colOff>
      <xdr:row>32</xdr:row>
      <xdr:rowOff>0</xdr:rowOff>
    </xdr:from>
    <xdr:to>
      <xdr:col>37</xdr:col>
      <xdr:colOff>285580</xdr:colOff>
      <xdr:row>39</xdr:row>
      <xdr:rowOff>28405</xdr:rowOff>
    </xdr:to>
    <xdr:pic>
      <xdr:nvPicPr>
        <xdr:cNvPr id="18" name="Grafik 17"/>
        <xdr:cNvPicPr>
          <a:picLocks noChangeAspect="1"/>
        </xdr:cNvPicPr>
      </xdr:nvPicPr>
      <xdr:blipFill>
        <a:blip xmlns:r="http://schemas.openxmlformats.org/officeDocument/2006/relationships" r:embed="rId4"/>
        <a:stretch>
          <a:fillRect/>
        </a:stretch>
      </xdr:blipFill>
      <xdr:spPr>
        <a:xfrm>
          <a:off x="34671000" y="7429500"/>
          <a:ext cx="1361905" cy="1361905"/>
        </a:xfrm>
        <a:prstGeom prst="rect">
          <a:avLst/>
        </a:prstGeom>
      </xdr:spPr>
    </xdr:pic>
    <xdr:clientData/>
  </xdr:twoCellAnchor>
  <xdr:twoCellAnchor editAs="oneCell">
    <xdr:from>
      <xdr:col>47</xdr:col>
      <xdr:colOff>0</xdr:colOff>
      <xdr:row>32</xdr:row>
      <xdr:rowOff>0</xdr:rowOff>
    </xdr:from>
    <xdr:to>
      <xdr:col>48</xdr:col>
      <xdr:colOff>257005</xdr:colOff>
      <xdr:row>39</xdr:row>
      <xdr:rowOff>28405</xdr:rowOff>
    </xdr:to>
    <xdr:pic>
      <xdr:nvPicPr>
        <xdr:cNvPr id="19" name="Grafik 18"/>
        <xdr:cNvPicPr>
          <a:picLocks noChangeAspect="1"/>
        </xdr:cNvPicPr>
      </xdr:nvPicPr>
      <xdr:blipFill>
        <a:blip xmlns:r="http://schemas.openxmlformats.org/officeDocument/2006/relationships" r:embed="rId1"/>
        <a:stretch>
          <a:fillRect/>
        </a:stretch>
      </xdr:blipFill>
      <xdr:spPr>
        <a:xfrm>
          <a:off x="44948475" y="7429500"/>
          <a:ext cx="1361905" cy="1361905"/>
        </a:xfrm>
        <a:prstGeom prst="rect">
          <a:avLst/>
        </a:prstGeom>
      </xdr:spPr>
    </xdr:pic>
    <xdr:clientData/>
  </xdr:twoCellAnchor>
  <xdr:twoCellAnchor>
    <xdr:from>
      <xdr:col>1</xdr:col>
      <xdr:colOff>0</xdr:colOff>
      <xdr:row>8</xdr:row>
      <xdr:rowOff>28576</xdr:rowOff>
    </xdr:from>
    <xdr:to>
      <xdr:col>1</xdr:col>
      <xdr:colOff>419101</xdr:colOff>
      <xdr:row>17</xdr:row>
      <xdr:rowOff>1</xdr:rowOff>
    </xdr:to>
    <xdr:grpSp>
      <xdr:nvGrpSpPr>
        <xdr:cNvPr id="25" name="Gruppieren 24"/>
        <xdr:cNvGrpSpPr/>
      </xdr:nvGrpSpPr>
      <xdr:grpSpPr>
        <a:xfrm>
          <a:off x="1152525" y="1762126"/>
          <a:ext cx="419101" cy="2762250"/>
          <a:chOff x="1181100" y="1562101"/>
          <a:chExt cx="419101" cy="2762250"/>
        </a:xfrm>
      </xdr:grpSpPr>
      <xdr:pic>
        <xdr:nvPicPr>
          <xdr:cNvPr id="20" name="Grafik 19"/>
          <xdr:cNvPicPr>
            <a:picLocks noChangeAspect="1"/>
          </xdr:cNvPicPr>
        </xdr:nvPicPr>
        <xdr:blipFill>
          <a:blip xmlns:r="http://schemas.openxmlformats.org/officeDocument/2006/relationships" r:embed="rId1"/>
          <a:stretch>
            <a:fillRect/>
          </a:stretch>
        </xdr:blipFill>
        <xdr:spPr>
          <a:xfrm>
            <a:off x="1200151" y="1562101"/>
            <a:ext cx="400050" cy="400050"/>
          </a:xfrm>
          <a:prstGeom prst="rect">
            <a:avLst/>
          </a:prstGeom>
        </xdr:spPr>
      </xdr:pic>
      <xdr:pic>
        <xdr:nvPicPr>
          <xdr:cNvPr id="21" name="Grafik 20"/>
          <xdr:cNvPicPr>
            <a:picLocks noChangeAspect="1"/>
          </xdr:cNvPicPr>
        </xdr:nvPicPr>
        <xdr:blipFill>
          <a:blip xmlns:r="http://schemas.openxmlformats.org/officeDocument/2006/relationships" r:embed="rId3"/>
          <a:stretch>
            <a:fillRect/>
          </a:stretch>
        </xdr:blipFill>
        <xdr:spPr>
          <a:xfrm>
            <a:off x="1200150" y="2159795"/>
            <a:ext cx="371475" cy="371475"/>
          </a:xfrm>
          <a:prstGeom prst="rect">
            <a:avLst/>
          </a:prstGeom>
        </xdr:spPr>
      </xdr:pic>
      <xdr:pic>
        <xdr:nvPicPr>
          <xdr:cNvPr id="22" name="Grafik 21"/>
          <xdr:cNvPicPr>
            <a:picLocks noChangeAspect="1"/>
          </xdr:cNvPicPr>
        </xdr:nvPicPr>
        <xdr:blipFill>
          <a:blip xmlns:r="http://schemas.openxmlformats.org/officeDocument/2006/relationships" r:embed="rId2"/>
          <a:stretch>
            <a:fillRect/>
          </a:stretch>
        </xdr:blipFill>
        <xdr:spPr>
          <a:xfrm>
            <a:off x="1200150" y="2728914"/>
            <a:ext cx="390525" cy="390525"/>
          </a:xfrm>
          <a:prstGeom prst="rect">
            <a:avLst/>
          </a:prstGeom>
        </xdr:spPr>
      </xdr:pic>
      <xdr:pic>
        <xdr:nvPicPr>
          <xdr:cNvPr id="23" name="Grafik 22"/>
          <xdr:cNvPicPr>
            <a:picLocks noChangeAspect="1"/>
          </xdr:cNvPicPr>
        </xdr:nvPicPr>
        <xdr:blipFill>
          <a:blip xmlns:r="http://schemas.openxmlformats.org/officeDocument/2006/relationships" r:embed="rId4"/>
          <a:stretch>
            <a:fillRect/>
          </a:stretch>
        </xdr:blipFill>
        <xdr:spPr>
          <a:xfrm>
            <a:off x="1181100" y="3317083"/>
            <a:ext cx="409575" cy="409575"/>
          </a:xfrm>
          <a:prstGeom prst="rect">
            <a:avLst/>
          </a:prstGeom>
        </xdr:spPr>
      </xdr:pic>
      <xdr:pic>
        <xdr:nvPicPr>
          <xdr:cNvPr id="24" name="Grafik 23"/>
          <xdr:cNvPicPr>
            <a:picLocks noChangeAspect="1"/>
          </xdr:cNvPicPr>
        </xdr:nvPicPr>
        <xdr:blipFill>
          <a:blip xmlns:r="http://schemas.openxmlformats.org/officeDocument/2006/relationships" r:embed="rId1"/>
          <a:stretch>
            <a:fillRect/>
          </a:stretch>
        </xdr:blipFill>
        <xdr:spPr>
          <a:xfrm>
            <a:off x="1190626" y="3924301"/>
            <a:ext cx="400050" cy="400050"/>
          </a:xfrm>
          <a:prstGeom prst="rect">
            <a:avLst/>
          </a:prstGeom>
        </xdr:spPr>
      </xdr:pic>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52"/>
  <sheetViews>
    <sheetView tabSelected="1" zoomScaleNormal="100" workbookViewId="0">
      <selection activeCell="K102" sqref="K102"/>
    </sheetView>
  </sheetViews>
  <sheetFormatPr baseColWidth="10" defaultRowHeight="15" x14ac:dyDescent="0.25"/>
  <cols>
    <col min="1" max="1" width="17.28515625" customWidth="1"/>
    <col min="2" max="2" width="6.7109375" customWidth="1"/>
    <col min="3" max="3" width="29.5703125" customWidth="1"/>
    <col min="4" max="4" width="35.7109375" customWidth="1"/>
    <col min="5" max="6" width="18.28515625" customWidth="1"/>
    <col min="7" max="7" width="16.7109375" customWidth="1"/>
    <col min="8" max="8" width="16.28515625" customWidth="1"/>
    <col min="9" max="9" width="20.85546875" customWidth="1"/>
    <col min="10" max="10" width="10" customWidth="1"/>
    <col min="11" max="11" width="17.140625" customWidth="1"/>
    <col min="12" max="12" width="2.85546875" customWidth="1"/>
    <col min="13" max="13" width="17.85546875" customWidth="1"/>
    <col min="14" max="14" width="14.28515625" customWidth="1"/>
    <col min="15" max="15" width="15.85546875" customWidth="1"/>
    <col min="16" max="16" width="18.7109375" customWidth="1"/>
    <col min="17" max="17" width="14.85546875" customWidth="1"/>
    <col min="18" max="18" width="17.85546875" customWidth="1"/>
    <col min="19" max="19" width="16.42578125" customWidth="1"/>
    <col min="20" max="20" width="6.28515625" customWidth="1"/>
    <col min="21" max="21" width="13" customWidth="1"/>
    <col min="22" max="22" width="3.7109375" customWidth="1"/>
    <col min="23" max="23" width="7.28515625" customWidth="1"/>
    <col min="24" max="24" width="18" customWidth="1"/>
    <col min="25" max="25" width="21.42578125" customWidth="1"/>
    <col min="26" max="26" width="20.28515625" customWidth="1"/>
    <col min="27" max="27" width="15.140625" customWidth="1"/>
    <col min="28" max="28" width="14.85546875" customWidth="1"/>
    <col min="29" max="29" width="15.5703125" customWidth="1"/>
    <col min="30" max="30" width="9.28515625" customWidth="1"/>
    <col min="31" max="31" width="14.85546875" customWidth="1"/>
    <col min="32" max="32" width="4.140625" customWidth="1"/>
    <col min="33" max="33" width="9.140625" customWidth="1"/>
    <col min="35" max="35" width="16.5703125" customWidth="1"/>
    <col min="36" max="36" width="22.85546875" customWidth="1"/>
    <col min="37" max="37" width="16.140625" bestFit="1" customWidth="1"/>
    <col min="38" max="38" width="14.85546875" customWidth="1"/>
    <col min="39" max="39" width="16.85546875" customWidth="1"/>
    <col min="40" max="40" width="9" customWidth="1"/>
    <col min="41" max="41" width="14.85546875" customWidth="1"/>
    <col min="43" max="43" width="4.42578125" customWidth="1"/>
    <col min="45" max="45" width="17.140625" customWidth="1"/>
    <col min="46" max="46" width="16.140625" customWidth="1"/>
    <col min="47" max="47" width="21.85546875" customWidth="1"/>
    <col min="48" max="48" width="16.5703125" customWidth="1"/>
    <col min="49" max="49" width="16.28515625" customWidth="1"/>
    <col min="50" max="50" width="15.5703125" customWidth="1"/>
    <col min="51" max="51" width="8.5703125" customWidth="1"/>
    <col min="52" max="52" width="12.140625" customWidth="1"/>
    <col min="54" max="54" width="4.42578125" customWidth="1"/>
    <col min="59" max="59" width="59.42578125" customWidth="1"/>
  </cols>
  <sheetData>
    <row r="1" spans="3:54" x14ac:dyDescent="0.25">
      <c r="E1" s="1"/>
      <c r="F1" s="1"/>
      <c r="J1" s="1"/>
      <c r="K1" s="1"/>
      <c r="L1" s="1"/>
      <c r="M1" s="1"/>
      <c r="O1" s="2"/>
      <c r="P1" s="2"/>
      <c r="V1" s="3"/>
      <c r="W1" s="3"/>
      <c r="X1" s="3"/>
      <c r="Y1" s="3"/>
      <c r="AQ1" s="32"/>
      <c r="BB1" s="66"/>
    </row>
    <row r="2" spans="3:54" ht="23.25" x14ac:dyDescent="0.35">
      <c r="C2" s="72" t="s">
        <v>117</v>
      </c>
      <c r="D2" s="75">
        <v>43127</v>
      </c>
      <c r="F2" s="29"/>
      <c r="K2" s="5"/>
      <c r="L2" s="1"/>
      <c r="M2" s="1" t="s">
        <v>169</v>
      </c>
      <c r="V2" s="3"/>
      <c r="W2" s="3"/>
      <c r="X2" s="3"/>
      <c r="Y2" s="3"/>
      <c r="AQ2" s="32"/>
      <c r="BB2" s="66"/>
    </row>
    <row r="3" spans="3:54" x14ac:dyDescent="0.25">
      <c r="C3" s="29"/>
      <c r="K3" s="5"/>
      <c r="L3" s="1"/>
      <c r="M3" s="1"/>
      <c r="V3" s="3"/>
      <c r="W3" s="3"/>
      <c r="X3" s="3"/>
      <c r="Y3" s="3"/>
      <c r="AQ3" s="32"/>
      <c r="BB3" s="66"/>
    </row>
    <row r="4" spans="3:54" ht="23.25" x14ac:dyDescent="0.35">
      <c r="C4" s="76" t="s">
        <v>118</v>
      </c>
      <c r="D4" s="90">
        <v>0</v>
      </c>
      <c r="F4" s="32"/>
      <c r="K4" s="5"/>
      <c r="L4" s="1"/>
      <c r="M4" s="1" t="s">
        <v>171</v>
      </c>
      <c r="V4" s="3"/>
      <c r="W4" s="3"/>
      <c r="X4" s="3"/>
      <c r="Y4" s="3"/>
      <c r="AQ4" s="32"/>
      <c r="BB4" s="66"/>
    </row>
    <row r="5" spans="3:54" x14ac:dyDescent="0.25">
      <c r="C5" t="s">
        <v>175</v>
      </c>
      <c r="D5" s="77"/>
      <c r="J5" s="5"/>
      <c r="K5" s="5"/>
      <c r="L5" s="1"/>
      <c r="M5" s="1" t="s">
        <v>172</v>
      </c>
      <c r="V5" s="3"/>
      <c r="W5" s="3"/>
      <c r="X5" s="3"/>
      <c r="Y5" s="3"/>
      <c r="AQ5" s="32"/>
      <c r="BB5" s="66"/>
    </row>
    <row r="6" spans="3:54" x14ac:dyDescent="0.25">
      <c r="C6" s="77" t="s">
        <v>142</v>
      </c>
      <c r="D6" s="78"/>
      <c r="J6" s="5"/>
      <c r="K6" s="5"/>
      <c r="L6" s="1"/>
      <c r="M6" s="92" t="s">
        <v>177</v>
      </c>
      <c r="V6" s="3"/>
      <c r="W6" s="3"/>
      <c r="X6" s="3"/>
      <c r="Y6" s="3"/>
      <c r="AQ6" s="32"/>
      <c r="BB6" s="66"/>
    </row>
    <row r="7" spans="3:54" x14ac:dyDescent="0.25">
      <c r="C7" s="78" t="s">
        <v>141</v>
      </c>
      <c r="D7" s="78"/>
      <c r="J7" s="5"/>
      <c r="K7" s="5"/>
      <c r="L7" s="1"/>
      <c r="M7" s="92" t="s">
        <v>178</v>
      </c>
      <c r="V7" s="3"/>
      <c r="W7" s="3"/>
      <c r="X7" s="3"/>
      <c r="Y7" s="3"/>
      <c r="AQ7" s="32"/>
      <c r="BB7" s="66"/>
    </row>
    <row r="8" spans="3:54" x14ac:dyDescent="0.25">
      <c r="C8" s="1"/>
      <c r="D8" s="1"/>
      <c r="E8" s="1"/>
      <c r="F8" s="1"/>
      <c r="J8" s="1"/>
      <c r="K8" s="1"/>
      <c r="L8" s="1"/>
      <c r="M8" s="1"/>
      <c r="V8" s="3"/>
      <c r="W8" s="3"/>
      <c r="X8" s="3"/>
      <c r="Y8" s="3"/>
      <c r="AQ8" s="32"/>
      <c r="BB8" s="66"/>
    </row>
    <row r="9" spans="3:54" ht="31.5" x14ac:dyDescent="0.5">
      <c r="C9" s="73" t="s">
        <v>0</v>
      </c>
      <c r="D9" s="96">
        <f>$C$23+D44+D4/24</f>
        <v>43117.096150462981</v>
      </c>
      <c r="E9" s="73" t="s">
        <v>174</v>
      </c>
      <c r="G9" s="112" t="s">
        <v>179</v>
      </c>
      <c r="H9" s="113"/>
      <c r="I9" s="113"/>
      <c r="V9" s="3"/>
      <c r="W9" s="3"/>
      <c r="X9" s="3"/>
      <c r="Y9" s="3"/>
      <c r="AQ9" s="32"/>
      <c r="BB9" s="66"/>
    </row>
    <row r="10" spans="3:54" x14ac:dyDescent="0.25">
      <c r="D10" s="2"/>
      <c r="E10" s="84">
        <f>D11-D9</f>
        <v>7.8444374115206301</v>
      </c>
      <c r="G10" s="113"/>
      <c r="H10" s="113"/>
      <c r="I10" s="113"/>
      <c r="M10" t="s">
        <v>173</v>
      </c>
      <c r="V10" s="3"/>
      <c r="W10" s="3"/>
      <c r="X10" s="3"/>
      <c r="Y10" s="3"/>
      <c r="AQ10" s="32"/>
      <c r="BB10" s="66"/>
    </row>
    <row r="11" spans="3:54" ht="31.5" x14ac:dyDescent="0.5">
      <c r="C11" s="73" t="s">
        <v>1</v>
      </c>
      <c r="D11" s="97">
        <f>$C$23+Y44+D4/24</f>
        <v>43124.940587874502</v>
      </c>
      <c r="E11" s="73" t="s">
        <v>174</v>
      </c>
      <c r="G11" s="113"/>
      <c r="H11" s="113"/>
      <c r="I11" s="113"/>
      <c r="M11" s="77" t="s">
        <v>163</v>
      </c>
      <c r="N11" s="5"/>
      <c r="O11" s="5"/>
      <c r="V11" s="3"/>
      <c r="W11" s="3"/>
      <c r="X11" s="3"/>
      <c r="Y11" s="3"/>
      <c r="AQ11" s="32"/>
      <c r="BB11" s="66"/>
    </row>
    <row r="12" spans="3:54" ht="15.75" x14ac:dyDescent="0.25">
      <c r="D12" s="2"/>
      <c r="E12" s="84">
        <f>D13-D11</f>
        <v>6.6203791201114655</v>
      </c>
      <c r="G12" s="114"/>
      <c r="H12" s="114"/>
      <c r="I12" s="114"/>
      <c r="M12" t="s">
        <v>165</v>
      </c>
      <c r="N12" s="1"/>
      <c r="O12" s="1"/>
      <c r="P12" s="2"/>
      <c r="V12" s="3"/>
      <c r="W12" s="3"/>
      <c r="X12" s="3"/>
      <c r="Y12" s="3"/>
      <c r="Z12" s="30"/>
      <c r="AA12" s="31"/>
      <c r="AB12" s="31"/>
      <c r="AC12" s="31"/>
      <c r="AD12" s="31"/>
      <c r="AQ12" s="32"/>
      <c r="BB12" s="66"/>
    </row>
    <row r="13" spans="3:54" ht="31.5" x14ac:dyDescent="0.5">
      <c r="C13" s="73" t="s">
        <v>2</v>
      </c>
      <c r="D13" s="97">
        <f>$C$23+O44+D4/24</f>
        <v>43131.560966994613</v>
      </c>
      <c r="E13" s="73" t="s">
        <v>174</v>
      </c>
      <c r="M13" s="1" t="s">
        <v>164</v>
      </c>
      <c r="P13" s="2"/>
      <c r="V13" s="3"/>
      <c r="W13" s="3"/>
      <c r="X13" s="3"/>
      <c r="Y13" s="3"/>
      <c r="Z13" s="32"/>
      <c r="AA13" s="32"/>
      <c r="AB13" s="33"/>
      <c r="AC13" s="32"/>
      <c r="AD13" s="32"/>
      <c r="AQ13" s="32"/>
      <c r="BB13" s="66"/>
    </row>
    <row r="14" spans="3:54" ht="15.75" x14ac:dyDescent="0.25">
      <c r="C14" s="7"/>
      <c r="D14" s="2"/>
      <c r="E14" s="84">
        <f>D15-D13</f>
        <v>7.0926833674311638</v>
      </c>
      <c r="F14" s="1"/>
      <c r="G14" s="112" t="s">
        <v>176</v>
      </c>
      <c r="H14" s="113"/>
      <c r="I14" s="113"/>
      <c r="M14" s="92" t="s">
        <v>166</v>
      </c>
      <c r="P14" s="2"/>
      <c r="V14" s="3"/>
      <c r="W14" s="3"/>
      <c r="X14" s="3"/>
      <c r="Y14" s="3"/>
      <c r="Z14" s="32"/>
      <c r="AA14" s="32"/>
      <c r="AB14" s="33"/>
      <c r="AC14" s="32"/>
      <c r="AD14" s="32"/>
      <c r="AQ14" s="32"/>
      <c r="BB14" s="66"/>
    </row>
    <row r="15" spans="3:54" ht="31.5" x14ac:dyDescent="0.5">
      <c r="C15" s="73" t="s">
        <v>3</v>
      </c>
      <c r="D15" s="97">
        <f>$C$23+AI44+D4/24</f>
        <v>43138.653650362045</v>
      </c>
      <c r="E15" s="73" t="s">
        <v>174</v>
      </c>
      <c r="G15" s="113"/>
      <c r="H15" s="113"/>
      <c r="I15" s="113"/>
      <c r="J15" s="8"/>
      <c r="K15" s="8"/>
      <c r="L15" s="9"/>
      <c r="M15" s="5"/>
      <c r="N15" s="5"/>
      <c r="O15" s="5"/>
      <c r="P15" s="2"/>
      <c r="V15" s="3"/>
      <c r="W15" s="3"/>
      <c r="X15" s="3"/>
      <c r="Y15" s="3"/>
      <c r="Z15" s="32"/>
      <c r="AA15" s="32"/>
      <c r="AB15" s="33"/>
      <c r="AC15" s="32"/>
      <c r="AD15" s="32"/>
      <c r="AQ15" s="32"/>
      <c r="BB15" s="66"/>
    </row>
    <row r="16" spans="3:54" ht="15.75" x14ac:dyDescent="0.25">
      <c r="C16" s="7"/>
      <c r="D16" s="2"/>
      <c r="E16" s="84">
        <f>D17-D15</f>
        <v>8.2257774225436151</v>
      </c>
      <c r="F16" s="1"/>
      <c r="G16" s="113"/>
      <c r="H16" s="113"/>
      <c r="I16" s="113"/>
      <c r="K16" s="8"/>
      <c r="L16" s="9"/>
      <c r="M16" s="108" t="s">
        <v>160</v>
      </c>
      <c r="N16" s="107"/>
      <c r="P16" s="2"/>
      <c r="V16" s="3"/>
      <c r="W16" s="3"/>
      <c r="X16" s="3"/>
      <c r="Y16" s="3"/>
      <c r="Z16" s="32"/>
      <c r="AA16" s="32"/>
      <c r="AB16" s="33"/>
      <c r="AC16" s="32"/>
      <c r="AD16" s="32"/>
      <c r="AQ16" s="32"/>
      <c r="BB16" s="66"/>
    </row>
    <row r="17" spans="1:54" ht="31.5" x14ac:dyDescent="0.5">
      <c r="C17" s="73" t="s">
        <v>0</v>
      </c>
      <c r="D17" s="96">
        <f>$C$23+AT44+D4/24</f>
        <v>43146.879427784588</v>
      </c>
      <c r="E17" s="73" t="s">
        <v>174</v>
      </c>
      <c r="G17" s="113"/>
      <c r="H17" s="113"/>
      <c r="I17" s="113"/>
      <c r="K17" s="8"/>
      <c r="L17" s="9"/>
      <c r="M17" s="108" t="s">
        <v>161</v>
      </c>
      <c r="N17" s="107"/>
      <c r="P17" s="2"/>
      <c r="V17" s="3"/>
      <c r="W17" s="3"/>
      <c r="X17" s="3"/>
      <c r="Y17" s="3"/>
      <c r="Z17" s="32"/>
      <c r="AA17" s="32"/>
      <c r="AB17" s="33"/>
      <c r="AC17" s="32"/>
      <c r="AD17" s="32"/>
      <c r="AQ17" s="32"/>
      <c r="BB17" s="66"/>
    </row>
    <row r="18" spans="1:54" s="32" customFormat="1" ht="21.75" customHeight="1" x14ac:dyDescent="0.5">
      <c r="C18" s="102"/>
      <c r="D18" s="103"/>
      <c r="E18" s="105"/>
      <c r="G18" s="113"/>
      <c r="H18" s="113"/>
      <c r="I18" s="113"/>
      <c r="J18" s="1"/>
      <c r="K18" s="93"/>
      <c r="L18" s="70"/>
      <c r="M18" s="108" t="s">
        <v>162</v>
      </c>
      <c r="N18" s="107"/>
      <c r="O18" s="9"/>
      <c r="P18" s="104"/>
      <c r="V18" s="71"/>
      <c r="W18" s="71"/>
      <c r="X18" s="71"/>
      <c r="Y18" s="71"/>
      <c r="AB18" s="33"/>
    </row>
    <row r="19" spans="1:54" s="32" customFormat="1" ht="18.75" customHeight="1" x14ac:dyDescent="0.5">
      <c r="C19" s="102"/>
      <c r="D19" s="106" t="s">
        <v>167</v>
      </c>
      <c r="E19" s="84">
        <f>SUM(E10:E16)</f>
        <v>29.783277321606874</v>
      </c>
      <c r="F19" s="91" t="s">
        <v>4</v>
      </c>
      <c r="G19" s="113"/>
      <c r="H19" s="113"/>
      <c r="I19" s="113"/>
      <c r="J19" s="93"/>
      <c r="K19" s="93"/>
      <c r="L19" s="70"/>
      <c r="M19" s="92"/>
      <c r="O19" s="104"/>
      <c r="P19" s="104"/>
      <c r="V19" s="71"/>
      <c r="W19" s="71"/>
      <c r="X19" s="71"/>
      <c r="Y19" s="71"/>
      <c r="AB19" s="33"/>
    </row>
    <row r="20" spans="1:54" ht="15.75" x14ac:dyDescent="0.25">
      <c r="C20" s="7"/>
      <c r="D20" s="7"/>
      <c r="F20" s="1"/>
      <c r="G20" s="8"/>
      <c r="H20" s="8"/>
      <c r="I20" s="8"/>
      <c r="J20" s="8"/>
      <c r="K20" s="8"/>
      <c r="L20" s="9"/>
      <c r="M20" s="1"/>
      <c r="O20" s="2"/>
      <c r="P20" s="2"/>
      <c r="V20" s="3"/>
      <c r="W20" s="3"/>
      <c r="X20" s="3"/>
      <c r="Y20" s="3"/>
      <c r="Z20" s="32"/>
      <c r="AA20" s="32"/>
      <c r="AB20" s="33"/>
      <c r="AC20" s="32"/>
      <c r="AD20" s="32"/>
      <c r="AQ20" s="32"/>
      <c r="BB20" s="66"/>
    </row>
    <row r="21" spans="1:54" ht="15.75" x14ac:dyDescent="0.25">
      <c r="A21" s="47"/>
      <c r="B21" s="47"/>
      <c r="C21" s="43"/>
      <c r="D21" s="43"/>
      <c r="E21" s="44"/>
      <c r="F21" s="44"/>
      <c r="G21" s="45"/>
      <c r="H21" s="45"/>
      <c r="I21" s="45"/>
      <c r="J21" s="45"/>
      <c r="K21" s="45"/>
      <c r="L21" s="46"/>
      <c r="M21" s="44"/>
      <c r="N21" s="47"/>
      <c r="O21" s="48"/>
      <c r="P21" s="48"/>
      <c r="Q21" s="47"/>
      <c r="R21" s="47"/>
      <c r="S21" s="47"/>
      <c r="T21" s="47"/>
      <c r="U21" s="47"/>
      <c r="V21" s="49"/>
      <c r="W21" s="49"/>
      <c r="X21" s="49"/>
      <c r="Y21" s="49"/>
      <c r="Z21" s="47"/>
      <c r="AA21" s="47"/>
      <c r="AB21" s="50"/>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66"/>
    </row>
    <row r="22" spans="1:54" ht="15.75" x14ac:dyDescent="0.25">
      <c r="C22" s="7"/>
      <c r="D22" s="7"/>
      <c r="E22" s="1"/>
      <c r="F22" s="1"/>
      <c r="G22" s="8"/>
      <c r="H22" s="8"/>
      <c r="I22" s="8"/>
      <c r="J22" s="8"/>
      <c r="K22" s="8"/>
      <c r="L22" s="70"/>
      <c r="M22" s="1"/>
      <c r="O22" s="2"/>
      <c r="P22" s="2"/>
      <c r="V22" s="71"/>
      <c r="W22" s="3"/>
      <c r="X22" s="3"/>
      <c r="Y22" s="3"/>
      <c r="Z22" s="32"/>
      <c r="AA22" s="32"/>
      <c r="AB22" s="33"/>
      <c r="AC22" s="32"/>
      <c r="AD22" s="32"/>
      <c r="AF22" s="32"/>
      <c r="AQ22" s="32"/>
      <c r="BB22" s="66"/>
    </row>
    <row r="23" spans="1:54" ht="15.75" x14ac:dyDescent="0.25">
      <c r="C23" s="29">
        <v>36526</v>
      </c>
      <c r="D23" s="78" t="s">
        <v>168</v>
      </c>
      <c r="E23" s="1"/>
      <c r="F23" s="1"/>
      <c r="G23" s="8"/>
      <c r="H23" s="8"/>
      <c r="K23" s="8"/>
      <c r="L23" s="70"/>
      <c r="M23" s="1"/>
      <c r="O23" s="2"/>
      <c r="P23" s="2"/>
      <c r="V23" s="71"/>
      <c r="W23" s="3"/>
      <c r="X23" t="s">
        <v>170</v>
      </c>
      <c r="Y23" s="3"/>
      <c r="Z23" s="32"/>
      <c r="AA23" s="32"/>
      <c r="AB23" s="33"/>
      <c r="AC23" s="32"/>
      <c r="AD23" s="32"/>
      <c r="AF23" s="32"/>
      <c r="AQ23" s="32"/>
      <c r="AS23" s="29">
        <v>36526</v>
      </c>
      <c r="AT23" s="78" t="s">
        <v>168</v>
      </c>
      <c r="BB23" s="66"/>
    </row>
    <row r="24" spans="1:54" ht="15.75" x14ac:dyDescent="0.25">
      <c r="C24" s="80">
        <f>D2-C23</f>
        <v>6601</v>
      </c>
      <c r="D24" t="s">
        <v>4</v>
      </c>
      <c r="G24" s="8"/>
      <c r="K24" s="8"/>
      <c r="L24" s="70"/>
      <c r="M24" s="1"/>
      <c r="O24" s="2"/>
      <c r="P24" s="2"/>
      <c r="V24" s="71"/>
      <c r="W24" s="3"/>
      <c r="X24" s="94" t="s">
        <v>157</v>
      </c>
      <c r="Y24" s="42"/>
      <c r="Z24" s="81"/>
      <c r="AA24" s="81"/>
      <c r="AB24" s="95"/>
      <c r="AC24" s="81"/>
      <c r="AD24" s="81"/>
      <c r="AE24" s="24"/>
      <c r="AF24" s="81"/>
      <c r="AG24" s="24"/>
      <c r="AQ24" s="32"/>
      <c r="AS24" s="80">
        <f>D2+29.5-AS23</f>
        <v>6630.5</v>
      </c>
      <c r="AT24" t="s">
        <v>4</v>
      </c>
      <c r="BB24" s="66"/>
    </row>
    <row r="25" spans="1:54" ht="15.75" x14ac:dyDescent="0.25">
      <c r="C25" s="2">
        <f>C24/365.25</f>
        <v>18.072553045858999</v>
      </c>
      <c r="D25" t="s">
        <v>5</v>
      </c>
      <c r="G25" s="8"/>
      <c r="H25" s="8"/>
      <c r="K25" s="8"/>
      <c r="L25" s="70"/>
      <c r="M25" s="1"/>
      <c r="O25" s="2"/>
      <c r="P25" s="2"/>
      <c r="V25" s="71"/>
      <c r="W25" s="3"/>
      <c r="X25" s="3" t="s">
        <v>158</v>
      </c>
      <c r="Y25" s="3"/>
      <c r="Z25" s="3" t="s">
        <v>159</v>
      </c>
      <c r="AA25" s="32"/>
      <c r="AB25" s="33"/>
      <c r="AC25" s="32"/>
      <c r="AD25" s="32"/>
      <c r="AF25" s="32"/>
      <c r="AQ25" s="32"/>
      <c r="AS25" s="2">
        <f>AS24/365.25</f>
        <v>18.153319644079399</v>
      </c>
      <c r="AT25" t="s">
        <v>5</v>
      </c>
      <c r="BB25" s="66"/>
    </row>
    <row r="26" spans="1:54" ht="15.75" x14ac:dyDescent="0.25">
      <c r="C26" s="2">
        <f>INT((C25)*12.3685)</f>
        <v>223</v>
      </c>
      <c r="D26" s="35" t="s">
        <v>6</v>
      </c>
      <c r="F26" s="4"/>
      <c r="G26" s="8"/>
      <c r="H26" s="8"/>
      <c r="K26" s="8"/>
      <c r="L26" s="70"/>
      <c r="M26" s="1"/>
      <c r="O26" s="2"/>
      <c r="P26" s="2"/>
      <c r="V26" s="71"/>
      <c r="W26" s="3"/>
      <c r="Y26" s="3"/>
      <c r="AA26" s="32"/>
      <c r="AB26" s="33"/>
      <c r="AC26" s="32"/>
      <c r="AD26" s="32"/>
      <c r="AF26" s="32"/>
      <c r="AQ26" s="32"/>
      <c r="AS26" s="2">
        <f>INT((AS25)*12.3685)</f>
        <v>224</v>
      </c>
      <c r="AT26" s="35" t="s">
        <v>6</v>
      </c>
      <c r="BB26" s="66"/>
    </row>
    <row r="27" spans="1:54" ht="15.75" x14ac:dyDescent="0.25">
      <c r="C27" s="7"/>
      <c r="D27" s="7"/>
      <c r="E27" s="1"/>
      <c r="F27" s="1"/>
      <c r="G27" s="8"/>
      <c r="H27" s="8"/>
      <c r="I27" s="8"/>
      <c r="J27" s="8"/>
      <c r="K27" s="8"/>
      <c r="L27" s="70"/>
      <c r="M27" s="1"/>
      <c r="O27" s="2"/>
      <c r="P27" s="2"/>
      <c r="V27" s="71"/>
      <c r="W27" s="3"/>
      <c r="X27" s="3"/>
      <c r="Y27" s="3"/>
      <c r="Z27" s="32"/>
      <c r="AA27" s="32"/>
      <c r="AB27" s="33"/>
      <c r="AC27" s="32"/>
      <c r="AD27" s="32"/>
      <c r="AF27" s="32"/>
      <c r="AQ27" s="32"/>
      <c r="BB27" s="66"/>
    </row>
    <row r="28" spans="1:54" ht="15.75" x14ac:dyDescent="0.25">
      <c r="A28" s="47"/>
      <c r="B28" s="47"/>
      <c r="C28" s="43"/>
      <c r="D28" s="43"/>
      <c r="E28" s="44"/>
      <c r="F28" s="44"/>
      <c r="G28" s="45"/>
      <c r="H28" s="45"/>
      <c r="I28" s="45"/>
      <c r="J28" s="45"/>
      <c r="K28" s="45"/>
      <c r="L28" s="46"/>
      <c r="M28" s="44"/>
      <c r="N28" s="47"/>
      <c r="O28" s="48"/>
      <c r="P28" s="48"/>
      <c r="Q28" s="47"/>
      <c r="R28" s="47"/>
      <c r="S28" s="47"/>
      <c r="T28" s="47"/>
      <c r="U28" s="47"/>
      <c r="V28" s="49"/>
      <c r="W28" s="49"/>
      <c r="X28" s="49"/>
      <c r="Y28" s="49"/>
      <c r="Z28" s="69"/>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66"/>
    </row>
    <row r="29" spans="1:54" ht="15.75" x14ac:dyDescent="0.25">
      <c r="C29" s="7"/>
      <c r="D29" s="7"/>
      <c r="E29" s="1"/>
      <c r="F29" s="1"/>
      <c r="G29" s="8"/>
      <c r="H29" s="8"/>
      <c r="I29" s="8"/>
      <c r="J29" s="8"/>
      <c r="K29" s="8"/>
      <c r="L29" s="65"/>
      <c r="M29" s="1"/>
      <c r="O29" s="2"/>
      <c r="P29" s="2"/>
      <c r="V29" s="63"/>
      <c r="W29" s="3"/>
      <c r="X29" s="3"/>
      <c r="Y29" s="3"/>
      <c r="Z29" s="30"/>
      <c r="AA29" s="32"/>
      <c r="AB29" s="32"/>
      <c r="AC29" s="32"/>
      <c r="AD29" s="32"/>
      <c r="AF29" s="61"/>
      <c r="AQ29" s="61"/>
      <c r="BB29" s="66"/>
    </row>
    <row r="30" spans="1:54" x14ac:dyDescent="0.25">
      <c r="H30" s="10"/>
      <c r="I30" s="10"/>
      <c r="J30" s="10"/>
      <c r="K30" s="10"/>
      <c r="L30" s="61"/>
      <c r="O30" s="2"/>
      <c r="P30" s="2"/>
      <c r="V30" s="63"/>
      <c r="W30" s="3"/>
      <c r="X30" s="3"/>
      <c r="Y30" s="3"/>
      <c r="AF30" s="61"/>
      <c r="AQ30" s="61"/>
      <c r="BB30" s="66"/>
    </row>
    <row r="31" spans="1:54" s="24" customFormat="1" ht="15.75" x14ac:dyDescent="0.25">
      <c r="C31" s="39" t="s">
        <v>7</v>
      </c>
      <c r="D31" s="39"/>
      <c r="E31" s="40"/>
      <c r="F31" s="40"/>
      <c r="L31" s="62"/>
      <c r="N31" s="41" t="s">
        <v>8</v>
      </c>
      <c r="P31" s="38"/>
      <c r="V31" s="64"/>
      <c r="W31" s="42"/>
      <c r="X31" s="41" t="s">
        <v>9</v>
      </c>
      <c r="AF31" s="62"/>
      <c r="AH31" s="41" t="s">
        <v>10</v>
      </c>
      <c r="AQ31" s="62"/>
      <c r="AS31" s="39" t="s">
        <v>7</v>
      </c>
      <c r="AT31" s="40"/>
      <c r="AU31" s="40"/>
      <c r="BB31" s="67"/>
    </row>
    <row r="32" spans="1:54" x14ac:dyDescent="0.25">
      <c r="C32" s="2"/>
      <c r="D32" s="2"/>
      <c r="L32" s="61"/>
      <c r="N32" s="2"/>
      <c r="P32" s="2"/>
      <c r="V32" s="63"/>
      <c r="W32" s="3"/>
      <c r="X32" s="2"/>
      <c r="AF32" s="61"/>
      <c r="AH32" s="2"/>
      <c r="AQ32" s="61"/>
      <c r="AS32" s="2"/>
      <c r="BB32" s="66"/>
    </row>
    <row r="33" spans="3:54" x14ac:dyDescent="0.25">
      <c r="C33" s="2" t="s">
        <v>11</v>
      </c>
      <c r="D33">
        <f>C26+0</f>
        <v>223</v>
      </c>
      <c r="L33" s="61"/>
      <c r="N33" s="2" t="s">
        <v>11</v>
      </c>
      <c r="O33">
        <f>C26+0.5</f>
        <v>223.5</v>
      </c>
      <c r="P33" s="2"/>
      <c r="V33" s="63"/>
      <c r="W33" s="3"/>
      <c r="X33" s="2" t="s">
        <v>11</v>
      </c>
      <c r="Y33">
        <f>C26+0.25</f>
        <v>223.25</v>
      </c>
      <c r="AF33" s="61"/>
      <c r="AH33" s="2" t="s">
        <v>11</v>
      </c>
      <c r="AI33">
        <f>C26+0.75</f>
        <v>223.75</v>
      </c>
      <c r="AQ33" s="61"/>
      <c r="AS33" s="2" t="s">
        <v>11</v>
      </c>
      <c r="AT33">
        <f>AS26+0</f>
        <v>224</v>
      </c>
      <c r="BB33" s="66"/>
    </row>
    <row r="34" spans="3:54" x14ac:dyDescent="0.25">
      <c r="C34" s="2" t="s">
        <v>12</v>
      </c>
      <c r="D34">
        <f>D33/1236.85</f>
        <v>0.18029672151028825</v>
      </c>
      <c r="L34" s="61"/>
      <c r="N34" s="2" t="s">
        <v>12</v>
      </c>
      <c r="O34">
        <f>O33/1236.85</f>
        <v>0.18070097424910056</v>
      </c>
      <c r="P34" s="2"/>
      <c r="V34" s="63"/>
      <c r="W34" s="3"/>
      <c r="X34" s="2" t="s">
        <v>12</v>
      </c>
      <c r="Y34">
        <f>Y33/1236.85</f>
        <v>0.18049884787969439</v>
      </c>
      <c r="AF34" s="61"/>
      <c r="AH34" s="2" t="s">
        <v>12</v>
      </c>
      <c r="AI34">
        <f>AI33/1236.85</f>
        <v>0.1809031006185067</v>
      </c>
      <c r="AQ34" s="61"/>
      <c r="AS34" s="2" t="s">
        <v>12</v>
      </c>
      <c r="AT34">
        <f>AT33/1236.85</f>
        <v>0.18110522698791284</v>
      </c>
      <c r="BB34" s="66"/>
    </row>
    <row r="35" spans="3:54" x14ac:dyDescent="0.25">
      <c r="C35" s="2" t="s">
        <v>13</v>
      </c>
      <c r="D35" s="11">
        <f>2451550.09765+(29.530588853*INT(D33))+(0.0001337*D34*D34)-(0.00000015*D34*D34*D34)+(0.00000000073*D34*D34*D34*D34)</f>
        <v>2458135.4189685639</v>
      </c>
      <c r="F35" s="11"/>
      <c r="L35" s="61"/>
      <c r="N35" s="2" t="s">
        <v>13</v>
      </c>
      <c r="O35" s="11">
        <f>(2451550.09765+(29.530588853*(O33))+(0.0001337*O34*O34)-(0.00000015*O34*O34*O34)+(0.00000000073*O34*O34*O34*O34))</f>
        <v>2458150.18426301</v>
      </c>
      <c r="P35" s="2"/>
      <c r="V35" s="63"/>
      <c r="W35" s="3"/>
      <c r="X35" s="2" t="s">
        <v>13</v>
      </c>
      <c r="Y35" s="11">
        <f>(2451550.09765+(29.530588853*(Y33))+(0.0001337*Y34*Y34)-(0.00000015*Y34*Y34*Y34)+(0.00000000073*Y34*Y34*Y34*Y34))</f>
        <v>2458142.8016157872</v>
      </c>
      <c r="AF35" s="61"/>
      <c r="AH35" s="2" t="s">
        <v>13</v>
      </c>
      <c r="AI35" s="11">
        <f>(2451550.09765+(29.530588853*(AI33))+(0.0001337*AI34*AI34)-(0.00000015*AI34*AI34*AI34)+(0.00000000073*AI34*AI34*AI34*AI34))</f>
        <v>2458157.5669102329</v>
      </c>
      <c r="AQ35" s="61"/>
      <c r="AS35" s="2" t="s">
        <v>13</v>
      </c>
      <c r="AT35" s="11">
        <f>2451550.09765+(29.530588853*INT(AT33))+(0.0001337*AT34*AT34)-(0.00000015*AT34*AT34*AT34)+(0.00000000073*AT34*AT34*AT34*AT34)</f>
        <v>2458164.9495574562</v>
      </c>
      <c r="AU35" s="11"/>
      <c r="BB35" s="66"/>
    </row>
    <row r="36" spans="3:54" x14ac:dyDescent="0.25">
      <c r="C36" s="2" t="s">
        <v>14</v>
      </c>
      <c r="D36" s="12">
        <f>1 - (0.002516*D34) - (0.0000074*D34*D34)</f>
        <v>0.99954613289756256</v>
      </c>
      <c r="F36" s="12"/>
      <c r="L36" s="61"/>
      <c r="N36" s="2" t="s">
        <v>14</v>
      </c>
      <c r="O36" s="12">
        <f>1 - (0.002516*O34) - (0.0000074*O34*O34)</f>
        <v>0.99954511471775775</v>
      </c>
      <c r="P36" s="2"/>
      <c r="V36" s="63"/>
      <c r="W36" s="3"/>
      <c r="X36" s="2" t="s">
        <v>14</v>
      </c>
      <c r="Y36" s="12">
        <f>1 - (0.002516*Y34) - (0.0000074*Y34*Y34)</f>
        <v>0.99954562380796241</v>
      </c>
      <c r="AF36" s="61"/>
      <c r="AH36" s="2" t="s">
        <v>14</v>
      </c>
      <c r="AI36" s="12">
        <f>1 - (0.002516*AI34) - (0.0000074*AI34*AI34)</f>
        <v>0.99954460562694836</v>
      </c>
      <c r="AQ36" s="61"/>
      <c r="AS36" s="2" t="s">
        <v>14</v>
      </c>
      <c r="AT36" s="12">
        <f>1 - (0.002516*AT34) - (0.0000074*AT34*AT34)</f>
        <v>0.99954409653553444</v>
      </c>
      <c r="AU36" s="12"/>
      <c r="BB36" s="66"/>
    </row>
    <row r="37" spans="3:54" x14ac:dyDescent="0.25">
      <c r="C37" s="2" t="s">
        <v>15</v>
      </c>
      <c r="D37">
        <f>2.5534 + (29.10535669*INT(D33))-(0.0000218*D34*D34)- (0.00000011*D34*D34*D34)</f>
        <v>6493.0479411607039</v>
      </c>
      <c r="L37" s="61"/>
      <c r="N37" s="2" t="s">
        <v>15</v>
      </c>
      <c r="O37">
        <f>2.5534 + (29.10535669*(O33))-(0.0000218*O34*O34)- (0.00000011*O34*O34*O34)</f>
        <v>6507.6006195025184</v>
      </c>
      <c r="P37" s="2"/>
      <c r="V37" s="63"/>
      <c r="W37" s="3"/>
      <c r="X37" s="2" t="s">
        <v>15</v>
      </c>
      <c r="Y37">
        <f>2.5534 + (29.10535669*(Y33))-(0.0000218*Y34*Y34)- (0.00000011*Y34*Y34*Y34)</f>
        <v>6500.3242803316125</v>
      </c>
      <c r="AF37" s="61"/>
      <c r="AH37" s="2" t="s">
        <v>15</v>
      </c>
      <c r="AI37">
        <f>2.5534 + (29.10535669*(AI33))-(0.0000218*AI34*AI34)- (0.00000011*AI34*AI34*AI34)</f>
        <v>6514.8769586734243</v>
      </c>
      <c r="AQ37" s="61"/>
      <c r="AS37" s="2" t="s">
        <v>15</v>
      </c>
      <c r="AT37">
        <f>2.5534 + (29.10535669*INT(AT33))-(0.0000218*AT34*AT34)- (0.00000011*AT34*AT34*AT34)</f>
        <v>6522.1532978443265</v>
      </c>
      <c r="BB37" s="66"/>
    </row>
    <row r="38" spans="3:54" x14ac:dyDescent="0.25">
      <c r="C38" s="2" t="s">
        <v>16</v>
      </c>
      <c r="D38" s="6">
        <f>201.5643 + (385.81693528 *(D33)) + (0.0107438*D34*D34) + (0.00001239*D34*D34*D34) - (0.000000058*D34*D34*D34*D34)</f>
        <v>86238.74121676026</v>
      </c>
      <c r="F38" s="6"/>
      <c r="L38" s="61"/>
      <c r="N38" s="2" t="s">
        <v>16</v>
      </c>
      <c r="O38" s="6">
        <f>201.5643 + (385.81693528 *(O33)) + (0.0107438*O34*O34) + (0.00001239*O34*O34*O34) - (0.000000058*O34*O34*O34*O34)</f>
        <v>86431.649685968659</v>
      </c>
      <c r="P38" s="2"/>
      <c r="V38" s="63"/>
      <c r="W38" s="3"/>
      <c r="X38" s="2" t="s">
        <v>16</v>
      </c>
      <c r="Y38" s="6">
        <f>201.5643 + (385.81693528 *(Y33)) + (0.0107438*Y34*Y34) + (0.00001239*Y34*Y34*Y34) - (0.000000058*Y34*Y34*Y34*Y34)</f>
        <v>86335.195451364023</v>
      </c>
      <c r="AF38" s="61"/>
      <c r="AH38" s="2" t="s">
        <v>16</v>
      </c>
      <c r="AI38" s="6">
        <f>201.5643 + (385.81693528 *(AI33)) + (0.0107438*AI34*AI34) + (0.00001239*AI34*AI34*AI34) - (0.000000058*AI34*AI34*AI34*AI34)</f>
        <v>86528.103920574169</v>
      </c>
      <c r="AQ38" s="61"/>
      <c r="AS38" s="2" t="s">
        <v>16</v>
      </c>
      <c r="AT38" s="6">
        <f>201.5643 + (385.81693528 *(AT33)) + (0.0107438*AT34*AT34) + (0.00001239*AT34*AT34*AT34) - (0.000000058*AT34*AT34*AT34*AT34)</f>
        <v>86624.558155180552</v>
      </c>
      <c r="AU38" s="6"/>
      <c r="BB38" s="66"/>
    </row>
    <row r="39" spans="3:54" x14ac:dyDescent="0.25">
      <c r="C39" s="2" t="s">
        <v>17</v>
      </c>
      <c r="D39" s="6">
        <f>160.7108 + 390.67050274*(D33) - 0.0016341*D34*D34 - 0.00000227*D34*D34*D34 + 0.000000011*D34*D34*D34*D34</f>
        <v>87280.232857887182</v>
      </c>
      <c r="F39" s="6"/>
      <c r="L39" s="61"/>
      <c r="N39" s="2" t="s">
        <v>17</v>
      </c>
      <c r="O39" s="6">
        <f>160.7108 + 390.67050274*(O33) - 0.0016341*O34*O34 - 0.00000227*O34*O34*O34 + 0.000000011*O34*O34*O34*O34</f>
        <v>87475.568109018626</v>
      </c>
      <c r="P39" s="2"/>
      <c r="V39" s="63"/>
      <c r="W39" s="3"/>
      <c r="X39" s="2" t="s">
        <v>17</v>
      </c>
      <c r="Y39" s="6">
        <f>160.7108 + 390.67050274*(Y33) - 0.0016341*Y34*Y34 - 0.00000227*Y34*Y34*Y34 + 0.000000011*Y34*Y34*Y34*Y34</f>
        <v>87377.900483452962</v>
      </c>
      <c r="AF39" s="61"/>
      <c r="AH39" s="2" t="s">
        <v>17</v>
      </c>
      <c r="AI39" s="6">
        <f>160.7108 + 390.67050274*(AI33) - 0.0016341*AI34*AI34 - 0.00000227*AI34*AI34*AI34 + 0.000000011*AI34*AI34*AI34*AI34</f>
        <v>87573.23573458413</v>
      </c>
      <c r="AQ39" s="61"/>
      <c r="AS39" s="2" t="s">
        <v>17</v>
      </c>
      <c r="AT39" s="6">
        <f>160.7108 + 390.67050274*(AT33) - 0.0016341*AT34*AT34 - 0.00000227*AT34*AT34*AT34 + 0.000000011*AT34*AT34*AT34*AT34</f>
        <v>87670.903360149518</v>
      </c>
      <c r="AU39" s="6"/>
      <c r="BB39" s="66"/>
    </row>
    <row r="40" spans="3:54" ht="15.75" x14ac:dyDescent="0.25">
      <c r="C40" s="13" t="s">
        <v>18</v>
      </c>
      <c r="D40">
        <f xml:space="preserve"> 124.7746 - 1.5637558*(D33) + 0.0020691*D34*D34 + 0.00000215 *D34*D34*D34</f>
        <v>-223.94287612735619</v>
      </c>
      <c r="L40" s="61"/>
      <c r="N40" s="13" t="s">
        <v>18</v>
      </c>
      <c r="O40">
        <f xml:space="preserve"> 124.7746 - 1.5637558*(O33) + 0.0020691*O34*O34 + 0.00000215 *O34*O34*O34</f>
        <v>-224.72475372531855</v>
      </c>
      <c r="P40" s="2"/>
      <c r="V40" s="63"/>
      <c r="W40" s="3"/>
      <c r="X40" s="13" t="s">
        <v>18</v>
      </c>
      <c r="Y40">
        <f xml:space="preserve"> 124.7746 - 1.5637558*(Y33) + 0.0020691*Y34*Y34 + 0.00000215 *Y34*Y34*Y34</f>
        <v>-224.33381492642195</v>
      </c>
      <c r="AF40" s="61"/>
      <c r="AH40" s="13" t="s">
        <v>18</v>
      </c>
      <c r="AI40">
        <f xml:space="preserve"> 124.7746 - 1.5637558*(AI33) + 0.0020691*AI34*AI34 + 0.00000215 *AI34*AI34*AI34</f>
        <v>-225.11569252404598</v>
      </c>
      <c r="AQ40" s="61"/>
      <c r="AS40" s="13" t="s">
        <v>18</v>
      </c>
      <c r="AT40">
        <f xml:space="preserve"> 124.7746 - 1.5637558*(AT33) + 0.0020691*AT34*AT34 + 0.00000215 *AT34*AT34*AT34</f>
        <v>-225.50663132260431</v>
      </c>
      <c r="BB40" s="66"/>
    </row>
    <row r="41" spans="3:54" x14ac:dyDescent="0.25">
      <c r="C41" s="11"/>
      <c r="L41" s="61"/>
      <c r="P41" s="2"/>
      <c r="V41" s="63"/>
      <c r="W41" s="3"/>
      <c r="AF41" s="61"/>
      <c r="AQ41" s="61"/>
      <c r="AS41" s="11"/>
      <c r="BB41" s="66"/>
    </row>
    <row r="42" spans="3:54" x14ac:dyDescent="0.25">
      <c r="C42" s="11" t="s">
        <v>114</v>
      </c>
      <c r="D42">
        <v>2451545</v>
      </c>
      <c r="L42" s="61"/>
      <c r="N42" s="11" t="s">
        <v>114</v>
      </c>
      <c r="O42">
        <v>2451545</v>
      </c>
      <c r="P42" s="2"/>
      <c r="V42" s="63"/>
      <c r="W42" s="3"/>
      <c r="X42" s="11" t="s">
        <v>114</v>
      </c>
      <c r="Y42">
        <v>2451545</v>
      </c>
      <c r="AF42" s="61"/>
      <c r="AH42" s="11" t="s">
        <v>114</v>
      </c>
      <c r="AI42">
        <v>2451545</v>
      </c>
      <c r="AQ42" s="61"/>
      <c r="AS42" s="11" t="s">
        <v>114</v>
      </c>
      <c r="AT42">
        <v>2451545</v>
      </c>
      <c r="BB42" s="66"/>
    </row>
    <row r="43" spans="3:54" x14ac:dyDescent="0.25">
      <c r="C43" s="11" t="s">
        <v>115</v>
      </c>
      <c r="D43" s="6">
        <f>I83</f>
        <v>2458136.096150463</v>
      </c>
      <c r="F43" s="6"/>
      <c r="L43" s="61"/>
      <c r="N43" s="11" t="s">
        <v>115</v>
      </c>
      <c r="O43">
        <f>S83</f>
        <v>2458150.5609669946</v>
      </c>
      <c r="P43" s="2"/>
      <c r="V43" s="63"/>
      <c r="W43" s="3"/>
      <c r="X43" s="11" t="s">
        <v>115</v>
      </c>
      <c r="Y43">
        <f>AC83</f>
        <v>2458143.9405878745</v>
      </c>
      <c r="AF43" s="61"/>
      <c r="AH43" s="11" t="s">
        <v>115</v>
      </c>
      <c r="AI43">
        <f>AM83</f>
        <v>2458157.653650362</v>
      </c>
      <c r="AQ43" s="61"/>
      <c r="AS43" s="11" t="s">
        <v>115</v>
      </c>
      <c r="AT43" s="6">
        <f>AX83</f>
        <v>2458165.8794277846</v>
      </c>
      <c r="AU43" s="6"/>
      <c r="BB43" s="66"/>
    </row>
    <row r="44" spans="3:54" x14ac:dyDescent="0.25">
      <c r="C44" s="11" t="s">
        <v>116</v>
      </c>
      <c r="D44" s="6">
        <f>D43-D42</f>
        <v>6591.0961504629813</v>
      </c>
      <c r="F44" s="6"/>
      <c r="L44" s="61"/>
      <c r="N44" s="11" t="s">
        <v>116</v>
      </c>
      <c r="O44" s="6">
        <f>O43-O42</f>
        <v>6605.5609669946134</v>
      </c>
      <c r="P44" s="2"/>
      <c r="V44" s="63"/>
      <c r="W44" s="3"/>
      <c r="X44" s="11" t="s">
        <v>116</v>
      </c>
      <c r="Y44" s="6">
        <f>Y43-Y42</f>
        <v>6598.9405878745019</v>
      </c>
      <c r="AF44" s="61"/>
      <c r="AH44" s="11" t="s">
        <v>116</v>
      </c>
      <c r="AI44" s="6">
        <f>AI43-AI42</f>
        <v>6612.6536503620446</v>
      </c>
      <c r="AQ44" s="61"/>
      <c r="AS44" s="11" t="s">
        <v>116</v>
      </c>
      <c r="AT44" s="6">
        <f>AT43-AT42</f>
        <v>6620.8794277845882</v>
      </c>
      <c r="AU44" s="6"/>
      <c r="BB44" s="66"/>
    </row>
    <row r="45" spans="3:54" x14ac:dyDescent="0.25">
      <c r="C45" s="11"/>
      <c r="D45" s="11"/>
      <c r="L45" s="61"/>
      <c r="O45" s="2"/>
      <c r="P45" s="2"/>
      <c r="V45" s="63"/>
      <c r="W45" s="3"/>
      <c r="X45" s="3"/>
      <c r="Y45" s="3"/>
      <c r="AF45" s="61"/>
      <c r="AM45" s="82"/>
      <c r="AQ45" s="61"/>
      <c r="AS45" s="11"/>
      <c r="BB45" s="66"/>
    </row>
    <row r="46" spans="3:54" x14ac:dyDescent="0.25">
      <c r="C46" s="11"/>
      <c r="D46" s="11"/>
      <c r="L46" s="61"/>
      <c r="O46" s="2"/>
      <c r="P46" s="2"/>
      <c r="V46" s="63"/>
      <c r="W46" s="3"/>
      <c r="X46" s="3"/>
      <c r="Y46" s="3"/>
      <c r="AF46" s="61"/>
      <c r="AM46" s="82"/>
      <c r="AQ46" s="61"/>
      <c r="AS46" s="11"/>
      <c r="BB46" s="66"/>
    </row>
    <row r="47" spans="3:54" x14ac:dyDescent="0.25">
      <c r="C47" s="11"/>
      <c r="D47" s="11"/>
      <c r="L47" s="61"/>
      <c r="O47" s="2"/>
      <c r="P47" s="2"/>
      <c r="V47" s="63"/>
      <c r="W47" s="3"/>
      <c r="X47" s="3"/>
      <c r="Y47" s="3"/>
      <c r="AF47" s="61"/>
      <c r="AM47" s="82"/>
      <c r="AQ47" s="61"/>
      <c r="AS47" s="11"/>
      <c r="BB47" s="66"/>
    </row>
    <row r="48" spans="3:54" x14ac:dyDescent="0.25">
      <c r="C48" s="11"/>
      <c r="D48" s="11"/>
      <c r="L48" s="61"/>
      <c r="Q48" s="2"/>
      <c r="V48" s="63"/>
      <c r="W48" s="3"/>
      <c r="X48" s="3"/>
      <c r="Y48" s="3"/>
      <c r="AF48" s="61"/>
      <c r="AM48" s="82"/>
      <c r="AQ48" s="61"/>
      <c r="AS48" s="11"/>
      <c r="BB48" s="66"/>
    </row>
    <row r="49" spans="3:54" s="24" customFormat="1" ht="15.75" x14ac:dyDescent="0.25">
      <c r="C49" s="37" t="s">
        <v>7</v>
      </c>
      <c r="D49" s="37"/>
      <c r="I49" s="37"/>
      <c r="J49" s="37"/>
      <c r="K49" s="37"/>
      <c r="L49" s="62"/>
      <c r="N49" s="37" t="s">
        <v>8</v>
      </c>
      <c r="O49" s="38"/>
      <c r="P49" s="38"/>
      <c r="V49" s="62"/>
      <c r="W49" s="37"/>
      <c r="X49" s="37" t="s">
        <v>9</v>
      </c>
      <c r="AF49" s="62"/>
      <c r="AH49" s="39" t="s">
        <v>10</v>
      </c>
      <c r="AM49" s="82"/>
      <c r="AQ49" s="62"/>
      <c r="AS49" s="37" t="s">
        <v>7</v>
      </c>
      <c r="AX49" s="37"/>
      <c r="AY49" s="37"/>
      <c r="AZ49" s="37"/>
      <c r="BB49" s="67"/>
    </row>
    <row r="50" spans="3:54" ht="18.75" x14ac:dyDescent="0.25">
      <c r="C50" s="2" t="s">
        <v>19</v>
      </c>
      <c r="D50" s="89" t="s">
        <v>143</v>
      </c>
      <c r="E50">
        <f xml:space="preserve"> 299.77 + 0.107408*INT(D33) - 0.009173*D34*D34</f>
        <v>323.72168581413484</v>
      </c>
      <c r="F50" s="27" t="s">
        <v>99</v>
      </c>
      <c r="G50" s="25">
        <f>0.000325*SIN(RADIANS(E50))</f>
        <v>-1.9230513299645397E-4</v>
      </c>
      <c r="H50" s="25">
        <f>-0.4072*SIN(RADIANS(D38))</f>
        <v>0.13083103916245989</v>
      </c>
      <c r="I50" s="26" t="s">
        <v>119</v>
      </c>
      <c r="J50" s="26" t="s">
        <v>97</v>
      </c>
      <c r="K50" s="26" t="s">
        <v>20</v>
      </c>
      <c r="L50" s="61"/>
      <c r="N50" s="2" t="s">
        <v>19</v>
      </c>
      <c r="O50" s="3">
        <f xml:space="preserve"> 299.77 + 0.107408*(O33) - 0.009173*O34*O34</f>
        <v>323.77538847547947</v>
      </c>
      <c r="P50" s="27" t="s">
        <v>99</v>
      </c>
      <c r="Q50" s="82">
        <f>0.000325*SIN(RADIANS(O50))</f>
        <v>-1.9205947951055508E-4</v>
      </c>
      <c r="R50" s="25">
        <f>-0.40614*SIN(RADIANS(O38))</f>
        <v>-0.21311153232315358</v>
      </c>
      <c r="S50" s="36">
        <v>-0.40614</v>
      </c>
      <c r="T50" s="26" t="s">
        <v>97</v>
      </c>
      <c r="U50" s="26" t="s">
        <v>20</v>
      </c>
      <c r="V50" s="61"/>
      <c r="X50" s="2" t="s">
        <v>19</v>
      </c>
      <c r="Y50" s="3">
        <f xml:space="preserve"> 299.77 + 0.107408*(Y33) - 0.009173*Y34*Y34</f>
        <v>323.7485371451819</v>
      </c>
      <c r="Z50" s="27" t="s">
        <v>99</v>
      </c>
      <c r="AA50" s="99">
        <f>0.000325*SIN(RADIANS(Y50))</f>
        <v>-1.9218232735603477E-4</v>
      </c>
      <c r="AB50" s="82">
        <f>-0.62801*SIN(RADIANS(Y38))</f>
        <v>0.56826166345608098</v>
      </c>
      <c r="AC50" s="26" t="s">
        <v>76</v>
      </c>
      <c r="AD50" s="26" t="s">
        <v>97</v>
      </c>
      <c r="AE50" s="26" t="s">
        <v>16</v>
      </c>
      <c r="AF50" s="61"/>
      <c r="AH50" s="2" t="s">
        <v>19</v>
      </c>
      <c r="AI50" s="101">
        <f xml:space="preserve"> 299.77 + 0.107408*(AI33) - 0.009173*AI34*AI34</f>
        <v>323.80223980502745</v>
      </c>
      <c r="AJ50" s="27" t="s">
        <v>99</v>
      </c>
      <c r="AK50" s="99">
        <f>0.000325*SIN(RADIANS(AI50))</f>
        <v>-1.9193658948699996E-4</v>
      </c>
      <c r="AL50" s="25">
        <f>-0.62801*SIN(RADIANS(AI38))</f>
        <v>-0.49417654622883678</v>
      </c>
      <c r="AM50" s="26" t="s">
        <v>76</v>
      </c>
      <c r="AN50" s="26" t="s">
        <v>97</v>
      </c>
      <c r="AO50" s="26" t="s">
        <v>16</v>
      </c>
      <c r="AQ50" s="61"/>
      <c r="AS50" s="2" t="s">
        <v>19</v>
      </c>
      <c r="AT50" s="6">
        <f xml:space="preserve"> 299.77 + 0.107408*INT(AT33) - 0.009173*AT34*AT34</f>
        <v>323.82909113382595</v>
      </c>
      <c r="AU50" s="27" t="s">
        <v>99</v>
      </c>
      <c r="AV50" s="25">
        <f>0.000325*SIN(RADIANS(AT50))</f>
        <v>-1.9181365731236265E-4</v>
      </c>
      <c r="AW50" s="25">
        <f>-0.4072*SIN(RADIANS(AT38))</f>
        <v>0.28570489728995446</v>
      </c>
      <c r="AX50" s="26" t="s">
        <v>119</v>
      </c>
      <c r="AY50" s="26" t="s">
        <v>97</v>
      </c>
      <c r="AZ50" s="26" t="s">
        <v>20</v>
      </c>
      <c r="BB50" s="66"/>
    </row>
    <row r="51" spans="3:54" ht="18" x14ac:dyDescent="0.25">
      <c r="C51" s="2" t="s">
        <v>21</v>
      </c>
      <c r="D51" s="89" t="s">
        <v>144</v>
      </c>
      <c r="E51">
        <f xml:space="preserve"> 251.88 + 0.016321*INT(D33)</f>
        <v>255.51958299999998</v>
      </c>
      <c r="F51" s="27" t="s">
        <v>100</v>
      </c>
      <c r="G51" s="25">
        <f>0.000165*SIN(RADIANS(E51))</f>
        <v>-1.5975847150973761E-4</v>
      </c>
      <c r="H51" s="25">
        <f>0.17241* D36*SIN(RADIANS(D37))</f>
        <v>3.8906694613415414E-2</v>
      </c>
      <c r="I51" s="26" t="s">
        <v>120</v>
      </c>
      <c r="J51" s="26" t="s">
        <v>97</v>
      </c>
      <c r="K51" s="26" t="s">
        <v>15</v>
      </c>
      <c r="L51" s="61"/>
      <c r="N51" s="2" t="s">
        <v>21</v>
      </c>
      <c r="O51" s="3">
        <f xml:space="preserve"> 251.88 + 0.016321*(O33)</f>
        <v>255.52774349999999</v>
      </c>
      <c r="P51" s="27" t="s">
        <v>100</v>
      </c>
      <c r="Q51" s="82">
        <f>0.000165*SIN(RADIANS(O51))</f>
        <v>-1.5976434618115786E-4</v>
      </c>
      <c r="R51" s="25">
        <f>0.17302* O36*SIN(RADIANS(O37))</f>
        <v>8.0124673739085786E-2</v>
      </c>
      <c r="S51" s="26" t="s">
        <v>135</v>
      </c>
      <c r="T51" s="26" t="s">
        <v>97</v>
      </c>
      <c r="U51" s="26" t="s">
        <v>15</v>
      </c>
      <c r="V51" s="61"/>
      <c r="X51" s="2" t="s">
        <v>21</v>
      </c>
      <c r="Y51" s="3">
        <f xml:space="preserve"> 251.88 + 0.016321*(Y33)</f>
        <v>255.52366325</v>
      </c>
      <c r="Z51" s="27" t="s">
        <v>100</v>
      </c>
      <c r="AA51" s="99">
        <f>0.000165*SIN(RADIANS(Y51))</f>
        <v>-1.5976140925055515E-4</v>
      </c>
      <c r="AB51" s="82">
        <f>0.17172* Y36*SIN(RADIANS(Y37))</f>
        <v>5.9616934161440739E-2</v>
      </c>
      <c r="AC51" s="26" t="s">
        <v>77</v>
      </c>
      <c r="AD51" s="26" t="s">
        <v>97</v>
      </c>
      <c r="AE51" s="26" t="s">
        <v>15</v>
      </c>
      <c r="AF51" s="61"/>
      <c r="AH51" s="2" t="s">
        <v>21</v>
      </c>
      <c r="AI51" s="101">
        <f xml:space="preserve"> 251.88 + 0.016321*(AI33)</f>
        <v>255.53182375</v>
      </c>
      <c r="AJ51" s="27" t="s">
        <v>100</v>
      </c>
      <c r="AK51" s="99">
        <f>0.000165*SIN(RADIANS(AI51))</f>
        <v>-1.5976728230153098E-4</v>
      </c>
      <c r="AL51" s="25">
        <f>0.17172* AI36*SIN(RADIANS(AI37))</f>
        <v>9.8147528279692933E-2</v>
      </c>
      <c r="AM51" s="26" t="s">
        <v>77</v>
      </c>
      <c r="AN51" s="26" t="s">
        <v>97</v>
      </c>
      <c r="AO51" s="26" t="s">
        <v>15</v>
      </c>
      <c r="AQ51" s="61"/>
      <c r="AS51" s="2" t="s">
        <v>21</v>
      </c>
      <c r="AT51" s="6">
        <f xml:space="preserve"> 251.88 + 0.016321*INT(AT33)</f>
        <v>255.53590399999999</v>
      </c>
      <c r="AU51" s="27" t="s">
        <v>100</v>
      </c>
      <c r="AV51" s="25">
        <f>0.000165*SIN(RADIANS(AT51))</f>
        <v>-1.5977021761165943E-4</v>
      </c>
      <c r="AW51" s="25">
        <f>0.17241* AT36*SIN(RADIANS(AT37))</f>
        <v>0.11565444991457671</v>
      </c>
      <c r="AX51" s="26" t="s">
        <v>120</v>
      </c>
      <c r="AY51" s="26" t="s">
        <v>97</v>
      </c>
      <c r="AZ51" s="26" t="s">
        <v>15</v>
      </c>
      <c r="BB51" s="66"/>
    </row>
    <row r="52" spans="3:54" ht="18" x14ac:dyDescent="0.25">
      <c r="C52" s="2" t="s">
        <v>22</v>
      </c>
      <c r="D52" s="89" t="s">
        <v>145</v>
      </c>
      <c r="E52">
        <f>251.83 + 26.651886*INT(D33)</f>
        <v>6195.200578</v>
      </c>
      <c r="F52" s="27" t="s">
        <v>101</v>
      </c>
      <c r="G52" s="25">
        <f>0.000164*SIN(RADIANS(E52))</f>
        <v>1.5855945834082814E-4</v>
      </c>
      <c r="H52" s="25">
        <f>0.01608*SIN(RADIANS(2*D38))</f>
        <v>9.7849720754419178E-3</v>
      </c>
      <c r="I52" s="26" t="s">
        <v>121</v>
      </c>
      <c r="J52" s="26" t="s">
        <v>97</v>
      </c>
      <c r="K52" s="26" t="s">
        <v>23</v>
      </c>
      <c r="L52" s="61"/>
      <c r="N52" s="2" t="s">
        <v>22</v>
      </c>
      <c r="O52" s="3">
        <f>251.83 + 26.651886*(O33)</f>
        <v>6208.5265209999998</v>
      </c>
      <c r="P52" s="27" t="s">
        <v>101</v>
      </c>
      <c r="Q52" s="82">
        <f>0.000164*SIN(RADIANS(O52))</f>
        <v>1.6394577088048724E-4</v>
      </c>
      <c r="R52" s="25">
        <f>0.01614*SIN(RADIANS(2*O38))</f>
        <v>1.4418934711953164E-2</v>
      </c>
      <c r="S52" s="26" t="s">
        <v>136</v>
      </c>
      <c r="T52" s="26" t="s">
        <v>97</v>
      </c>
      <c r="U52" s="26" t="s">
        <v>23</v>
      </c>
      <c r="V52" s="61"/>
      <c r="X52" s="2" t="s">
        <v>22</v>
      </c>
      <c r="Y52" s="3">
        <f>251.83 + 26.651886*(Y33)</f>
        <v>6201.8635494999999</v>
      </c>
      <c r="Z52" s="27" t="s">
        <v>101</v>
      </c>
      <c r="AA52" s="99">
        <f>0.000164*SIN(RADIANS(Y52))</f>
        <v>1.6234914625988913E-4</v>
      </c>
      <c r="AB52" s="82">
        <f>-0.01183*Y36*SIN(RADIANS(Y38+Y37))</f>
        <v>8.2850840296978621E-3</v>
      </c>
      <c r="AC52" s="26" t="s">
        <v>78</v>
      </c>
      <c r="AD52" s="26" t="s">
        <v>97</v>
      </c>
      <c r="AE52" s="26" t="s">
        <v>59</v>
      </c>
      <c r="AF52" s="61"/>
      <c r="AH52" s="2" t="s">
        <v>22</v>
      </c>
      <c r="AI52" s="101">
        <f>251.83 + 26.651886*(AI33)</f>
        <v>6215.1894925000006</v>
      </c>
      <c r="AJ52" s="27" t="s">
        <v>101</v>
      </c>
      <c r="AK52" s="99">
        <f>0.000164*SIN(RADIANS(AI52))</f>
        <v>1.6332776449538448E-4</v>
      </c>
      <c r="AL52" s="25">
        <f>-0.01183*AI36*SIN(RADIANS(AI38+AI37))</f>
        <v>-3.460955660169318E-3</v>
      </c>
      <c r="AM52" s="26" t="s">
        <v>78</v>
      </c>
      <c r="AN52" s="26" t="s">
        <v>97</v>
      </c>
      <c r="AO52" s="26" t="s">
        <v>59</v>
      </c>
      <c r="AQ52" s="61"/>
      <c r="AS52" s="2" t="s">
        <v>22</v>
      </c>
      <c r="AT52" s="6">
        <f>251.83 + 26.651886*INT(AT33)</f>
        <v>6221.8524640000005</v>
      </c>
      <c r="AU52" s="27" t="s">
        <v>101</v>
      </c>
      <c r="AV52" s="25">
        <f>0.000164*SIN(RADIANS(AT52))</f>
        <v>1.6050347532908671E-4</v>
      </c>
      <c r="AW52" s="25">
        <f>0.01608*SIN(RADIANS(2*AT38))</f>
        <v>1.6078087498868222E-2</v>
      </c>
      <c r="AX52" s="26" t="s">
        <v>121</v>
      </c>
      <c r="AY52" s="26" t="s">
        <v>97</v>
      </c>
      <c r="AZ52" s="26" t="s">
        <v>23</v>
      </c>
      <c r="BB52" s="66"/>
    </row>
    <row r="53" spans="3:54" ht="18" x14ac:dyDescent="0.25">
      <c r="C53" s="2" t="s">
        <v>24</v>
      </c>
      <c r="D53" s="89" t="s">
        <v>146</v>
      </c>
      <c r="E53">
        <f xml:space="preserve"> 349.42 + 36.412478*INT(D33)</f>
        <v>8469.4025939999992</v>
      </c>
      <c r="F53" s="27" t="s">
        <v>102</v>
      </c>
      <c r="G53" s="25">
        <f>0.000126*SIN(RADIANS(E53))</f>
        <v>-2.0584699126134133E-5</v>
      </c>
      <c r="H53" s="25">
        <f>0.01039*SIN(RADIANS(2*D39))</f>
        <v>-6.6136487858986619E-3</v>
      </c>
      <c r="I53" s="26" t="s">
        <v>122</v>
      </c>
      <c r="J53" s="26" t="s">
        <v>97</v>
      </c>
      <c r="K53" s="26" t="s">
        <v>25</v>
      </c>
      <c r="L53" s="61"/>
      <c r="N53" s="2" t="s">
        <v>24</v>
      </c>
      <c r="O53" s="3">
        <f xml:space="preserve"> 349.42 + 36.412478*(O33)</f>
        <v>8487.6088330000002</v>
      </c>
      <c r="P53" s="27" t="s">
        <v>102</v>
      </c>
      <c r="Q53" s="82">
        <f>0.000126*SIN(RADIANS(O53))</f>
        <v>-5.8392514042258893E-5</v>
      </c>
      <c r="R53" s="25">
        <f>0.01043*SIN(RADIANS(2*O39))</f>
        <v>-1.6071153350925515E-3</v>
      </c>
      <c r="S53" s="26" t="s">
        <v>137</v>
      </c>
      <c r="T53" s="26" t="s">
        <v>97</v>
      </c>
      <c r="U53" s="26" t="s">
        <v>25</v>
      </c>
      <c r="V53" s="61"/>
      <c r="X53" s="2" t="s">
        <v>24</v>
      </c>
      <c r="Y53" s="3">
        <f xml:space="preserve"> 349.42 + 36.412478*(Y33)</f>
        <v>8478.5057134999988</v>
      </c>
      <c r="Z53" s="27" t="s">
        <v>102</v>
      </c>
      <c r="AA53" s="99">
        <f>0.000126*SIN(RADIANS(Y53))</f>
        <v>-3.9992301856165544E-5</v>
      </c>
      <c r="AB53" s="82">
        <f>0.00862*SIN(RADIANS(2*Y38))</f>
        <v>-6.6409516518179711E-3</v>
      </c>
      <c r="AC53" s="26" t="s">
        <v>79</v>
      </c>
      <c r="AD53" s="26" t="s">
        <v>97</v>
      </c>
      <c r="AE53" s="26" t="s">
        <v>60</v>
      </c>
      <c r="AF53" s="61"/>
      <c r="AH53" s="2" t="s">
        <v>24</v>
      </c>
      <c r="AI53" s="101">
        <f xml:space="preserve"> 349.42 + 36.412478*(AI33)</f>
        <v>8496.7119524999998</v>
      </c>
      <c r="AJ53" s="27" t="s">
        <v>102</v>
      </c>
      <c r="AK53" s="99">
        <f>0.000126*SIN(RADIANS(AI53))</f>
        <v>-7.5321841489216367E-5</v>
      </c>
      <c r="AL53" s="25">
        <f>0.00862*SIN(RADIANS(2*AI38))</f>
        <v>-8.3714588076338279E-3</v>
      </c>
      <c r="AM53" s="26" t="s">
        <v>79</v>
      </c>
      <c r="AN53" s="26" t="s">
        <v>97</v>
      </c>
      <c r="AO53" s="26" t="s">
        <v>60</v>
      </c>
      <c r="AQ53" s="61"/>
      <c r="AS53" s="2" t="s">
        <v>24</v>
      </c>
      <c r="AT53" s="6">
        <f xml:space="preserve"> 349.42 + 36.412478*INT(AT33)</f>
        <v>8505.8150719999994</v>
      </c>
      <c r="AU53" s="27" t="s">
        <v>102</v>
      </c>
      <c r="AV53" s="25">
        <f>0.000126*SIN(RADIANS(AT53))</f>
        <v>-9.0353841016878162E-5</v>
      </c>
      <c r="AW53" s="25">
        <f>0.01039*SIN(RADIANS(2*AT39))</f>
        <v>3.8596432906436765E-3</v>
      </c>
      <c r="AX53" s="26" t="s">
        <v>122</v>
      </c>
      <c r="AY53" s="26" t="s">
        <v>97</v>
      </c>
      <c r="AZ53" s="26" t="s">
        <v>25</v>
      </c>
      <c r="BB53" s="66"/>
    </row>
    <row r="54" spans="3:54" ht="18" x14ac:dyDescent="0.25">
      <c r="C54" s="2" t="s">
        <v>26</v>
      </c>
      <c r="D54" s="89" t="s">
        <v>147</v>
      </c>
      <c r="E54">
        <f xml:space="preserve">   84.66 + 18.206239*INT(D33)</f>
        <v>4144.6512970000003</v>
      </c>
      <c r="F54" s="27" t="s">
        <v>103</v>
      </c>
      <c r="G54" s="25">
        <f>0.00011*SIN(RADIANS(E54))</f>
        <v>-8.9200440712489536E-6</v>
      </c>
      <c r="H54" s="25">
        <f>0.00739 * D36*SIN(RADIANS(D38-D37))</f>
        <v>-7.3277718740103685E-4</v>
      </c>
      <c r="I54" s="26" t="s">
        <v>123</v>
      </c>
      <c r="J54" s="26" t="s">
        <v>97</v>
      </c>
      <c r="K54" s="26" t="s">
        <v>27</v>
      </c>
      <c r="L54" s="61"/>
      <c r="N54" s="2" t="s">
        <v>26</v>
      </c>
      <c r="O54" s="3">
        <f xml:space="preserve">   84.66 + 18.206239*(O33)</f>
        <v>4153.7544164999999</v>
      </c>
      <c r="P54" s="27" t="s">
        <v>103</v>
      </c>
      <c r="Q54" s="82">
        <f>0.00011*SIN(RADIANS(O54))</f>
        <v>-2.6153684156868258E-5</v>
      </c>
      <c r="R54" s="25">
        <f>0.00734 *O36*SIN(RADIANS(O38-O37))</f>
        <v>5.1804702372271411E-4</v>
      </c>
      <c r="S54" s="26" t="s">
        <v>138</v>
      </c>
      <c r="T54" s="26" t="s">
        <v>97</v>
      </c>
      <c r="U54" s="26" t="s">
        <v>27</v>
      </c>
      <c r="V54" s="61"/>
      <c r="X54" s="2" t="s">
        <v>26</v>
      </c>
      <c r="Y54" s="3">
        <f xml:space="preserve">   84.66 + 18.206239*(Y33)</f>
        <v>4149.2028567500001</v>
      </c>
      <c r="Z54" s="27" t="s">
        <v>103</v>
      </c>
      <c r="AA54" s="99">
        <f>0.00011*SIN(RADIANS(Y54))</f>
        <v>-1.7592344638507488E-5</v>
      </c>
      <c r="AB54" s="82">
        <f>0.00804*SIN(RADIANS(2*Y39))</f>
        <v>3.2956574346457764E-3</v>
      </c>
      <c r="AC54" s="26" t="s">
        <v>80</v>
      </c>
      <c r="AD54" s="26" t="s">
        <v>97</v>
      </c>
      <c r="AE54" s="26" t="s">
        <v>25</v>
      </c>
      <c r="AF54" s="61"/>
      <c r="AH54" s="2" t="s">
        <v>26</v>
      </c>
      <c r="AI54" s="101">
        <f xml:space="preserve">   84.66 + 18.206239*(AI33)</f>
        <v>4158.3059762499997</v>
      </c>
      <c r="AJ54" s="27" t="s">
        <v>103</v>
      </c>
      <c r="AK54" s="99">
        <f>0.00011*SIN(RADIANS(AI54))</f>
        <v>-3.4550063274201267E-5</v>
      </c>
      <c r="AL54" s="25">
        <f>0.00804*SIN(RADIANS(2*AI39))</f>
        <v>-9.0617588767333214E-4</v>
      </c>
      <c r="AM54" s="26" t="s">
        <v>80</v>
      </c>
      <c r="AN54" s="26" t="s">
        <v>97</v>
      </c>
      <c r="AO54" s="26" t="s">
        <v>25</v>
      </c>
      <c r="AQ54" s="61"/>
      <c r="AS54" s="2" t="s">
        <v>26</v>
      </c>
      <c r="AT54" s="6">
        <f xml:space="preserve">   84.66 + 18.206239*INT(AT33)</f>
        <v>4162.8575360000004</v>
      </c>
      <c r="AU54" s="27" t="s">
        <v>103</v>
      </c>
      <c r="AV54" s="25">
        <f>0.00011*SIN(RADIANS(AT54))</f>
        <v>-4.2728523101120459E-5</v>
      </c>
      <c r="AW54" s="25">
        <f>0.00739 * AT36*SIN(RADIANS(AT38-AT37))</f>
        <v>-3.0994565905743265E-4</v>
      </c>
      <c r="AX54" s="26" t="s">
        <v>123</v>
      </c>
      <c r="AY54" s="26" t="s">
        <v>97</v>
      </c>
      <c r="AZ54" s="26" t="s">
        <v>27</v>
      </c>
      <c r="BB54" s="66"/>
    </row>
    <row r="55" spans="3:54" ht="18" x14ac:dyDescent="0.25">
      <c r="C55" s="2" t="s">
        <v>28</v>
      </c>
      <c r="D55" s="89" t="s">
        <v>148</v>
      </c>
      <c r="E55">
        <f xml:space="preserve"> 141.74 + 53.303771*INT(D33)</f>
        <v>12028.480932999999</v>
      </c>
      <c r="F55" s="27" t="s">
        <v>104</v>
      </c>
      <c r="G55" s="25">
        <f>0.000062*SIN(RADIANS(E55))</f>
        <v>3.2412501299065017E-5</v>
      </c>
      <c r="H55" s="25">
        <f>-0.00514 * D36*SIN(RADIANS(D38+D37))</f>
        <v>2.7064971511675095E-3</v>
      </c>
      <c r="I55" s="26" t="s">
        <v>124</v>
      </c>
      <c r="J55" s="26" t="s">
        <v>97</v>
      </c>
      <c r="K55" s="26" t="s">
        <v>29</v>
      </c>
      <c r="L55" s="61"/>
      <c r="N55" s="2" t="s">
        <v>28</v>
      </c>
      <c r="O55" s="3">
        <f xml:space="preserve"> 141.74 + 53.303771*(O33)</f>
        <v>12055.132818499998</v>
      </c>
      <c r="P55" s="27" t="s">
        <v>104</v>
      </c>
      <c r="Q55" s="82">
        <f>0.000062*SIN(RADIANS(O55))</f>
        <v>5.2604651227259218E-6</v>
      </c>
      <c r="R55" s="25">
        <f>-0.00515 *O36*SIN(RADIANS(O38+O37))</f>
        <v>-4.4239437550751826E-3</v>
      </c>
      <c r="S55" s="26" t="s">
        <v>139</v>
      </c>
      <c r="T55" s="26" t="s">
        <v>97</v>
      </c>
      <c r="U55" s="26" t="s">
        <v>29</v>
      </c>
      <c r="V55" s="61"/>
      <c r="X55" s="2" t="s">
        <v>28</v>
      </c>
      <c r="Y55" s="3">
        <f xml:space="preserve"> 141.74 + 53.303771*(Y33)</f>
        <v>12041.806875749999</v>
      </c>
      <c r="Z55" s="27" t="s">
        <v>104</v>
      </c>
      <c r="AA55" s="99">
        <f>0.000062*SIN(RADIANS(Y55))</f>
        <v>1.9357696752645855E-5</v>
      </c>
      <c r="AB55" s="82">
        <f>-0.00454 *Y36*SIN(RADIANS(Y38-Y37))</f>
        <v>4.521546776960518E-3</v>
      </c>
      <c r="AC55" s="26" t="s">
        <v>81</v>
      </c>
      <c r="AD55" s="26" t="s">
        <v>97</v>
      </c>
      <c r="AE55" s="26" t="s">
        <v>61</v>
      </c>
      <c r="AF55" s="61"/>
      <c r="AH55" s="2" t="s">
        <v>28</v>
      </c>
      <c r="AI55" s="101">
        <f xml:space="preserve"> 141.74 + 53.303771*(AI33)</f>
        <v>12068.45876125</v>
      </c>
      <c r="AJ55" s="27" t="s">
        <v>104</v>
      </c>
      <c r="AK55" s="99">
        <f>0.000062*SIN(RADIANS(AI55))</f>
        <v>-9.1200466611234115E-6</v>
      </c>
      <c r="AL55" s="25">
        <f>-0.00454 *AI36*SIN(RADIANS(AI38-AI37))</f>
        <v>-4.5307370979143025E-3</v>
      </c>
      <c r="AM55" s="26" t="s">
        <v>81</v>
      </c>
      <c r="AN55" s="26" t="s">
        <v>97</v>
      </c>
      <c r="AO55" s="26" t="s">
        <v>61</v>
      </c>
      <c r="AQ55" s="61"/>
      <c r="AS55" s="2" t="s">
        <v>28</v>
      </c>
      <c r="AT55" s="6">
        <f xml:space="preserve"> 141.74 + 53.303771*INT(AT33)</f>
        <v>12081.784704</v>
      </c>
      <c r="AU55" s="27" t="s">
        <v>104</v>
      </c>
      <c r="AV55" s="25">
        <f>0.000062*SIN(RADIANS(AT55))</f>
        <v>-2.3009436811862424E-5</v>
      </c>
      <c r="AW55" s="25">
        <f>-0.00514 * AT36*SIN(RADIANS(AT38+AT37))</f>
        <v>5.1291964940037718E-3</v>
      </c>
      <c r="AX55" s="26" t="s">
        <v>124</v>
      </c>
      <c r="AY55" s="26" t="s">
        <v>97</v>
      </c>
      <c r="AZ55" s="26" t="s">
        <v>29</v>
      </c>
      <c r="BB55" s="66"/>
    </row>
    <row r="56" spans="3:54" ht="18" x14ac:dyDescent="0.25">
      <c r="C56" s="2" t="s">
        <v>30</v>
      </c>
      <c r="D56" s="89" t="s">
        <v>149</v>
      </c>
      <c r="E56">
        <f xml:space="preserve"> 207.14 + 2.453732*INT(D33)</f>
        <v>754.32223599999998</v>
      </c>
      <c r="F56" s="27" t="s">
        <v>105</v>
      </c>
      <c r="G56" s="25">
        <f>0.00006*SIN(RADIANS(E56))</f>
        <v>3.3830796488745245E-5</v>
      </c>
      <c r="H56" s="25">
        <f>0.00208 * D36*D36*SIN(RADIANS(2*D37))</f>
        <v>9.1410889750460531E-4</v>
      </c>
      <c r="I56" s="26" t="s">
        <v>134</v>
      </c>
      <c r="J56" s="26" t="s">
        <v>97</v>
      </c>
      <c r="K56" s="26" t="s">
        <v>31</v>
      </c>
      <c r="L56" s="61"/>
      <c r="N56" s="2" t="s">
        <v>30</v>
      </c>
      <c r="O56" s="3">
        <f xml:space="preserve"> 207.14 + 2.453732*(O33)</f>
        <v>755.54910199999995</v>
      </c>
      <c r="P56" s="27" t="s">
        <v>105</v>
      </c>
      <c r="Q56" s="82">
        <f>0.00006*SIN(RADIANS(O56))</f>
        <v>3.488402595102435E-5</v>
      </c>
      <c r="R56" s="25">
        <f>0.00209 *O36*O36*SIN(RADIANS(2*O37))</f>
        <v>1.7146666221977299E-3</v>
      </c>
      <c r="S56" s="26" t="s">
        <v>140</v>
      </c>
      <c r="T56" s="26" t="s">
        <v>97</v>
      </c>
      <c r="U56" s="26" t="s">
        <v>31</v>
      </c>
      <c r="V56" s="61"/>
      <c r="X56" s="2" t="s">
        <v>30</v>
      </c>
      <c r="Y56" s="3">
        <f xml:space="preserve"> 207.14 + 2.453732*(Y33)</f>
        <v>754.93566899999996</v>
      </c>
      <c r="Z56" s="27" t="s">
        <v>105</v>
      </c>
      <c r="AA56" s="99">
        <f>0.00006*SIN(RADIANS(Y56))</f>
        <v>3.4359380466856609E-5</v>
      </c>
      <c r="AB56" s="82">
        <f>0.00204 *Y36*Y36*SIN(RADIANS(2*Y37))</f>
        <v>1.3276843385860455E-3</v>
      </c>
      <c r="AC56" s="26" t="s">
        <v>95</v>
      </c>
      <c r="AD56" s="26" t="s">
        <v>97</v>
      </c>
      <c r="AE56" s="26" t="s">
        <v>31</v>
      </c>
      <c r="AF56" s="61"/>
      <c r="AH56" s="2" t="s">
        <v>30</v>
      </c>
      <c r="AI56" s="101">
        <f xml:space="preserve"> 207.14 + 2.453732*(AI33)</f>
        <v>756.16253500000005</v>
      </c>
      <c r="AJ56" s="27" t="s">
        <v>105</v>
      </c>
      <c r="AK56" s="99">
        <f>0.00006*SIN(RADIANS(AI56))</f>
        <v>3.540467280299729E-5</v>
      </c>
      <c r="AL56" s="25">
        <f>0.00204 *AI36*AI36*SIN(RADIANS(2*AI37))</f>
        <v>1.9122157808146381E-3</v>
      </c>
      <c r="AM56" s="26" t="s">
        <v>95</v>
      </c>
      <c r="AN56" s="26" t="s">
        <v>97</v>
      </c>
      <c r="AO56" s="26" t="s">
        <v>31</v>
      </c>
      <c r="AQ56" s="61"/>
      <c r="AS56" s="2" t="s">
        <v>30</v>
      </c>
      <c r="AT56" s="6">
        <f xml:space="preserve"> 207.14 + 2.453732*INT(AT33)</f>
        <v>756.77596800000003</v>
      </c>
      <c r="AU56" s="27" t="s">
        <v>105</v>
      </c>
      <c r="AV56" s="25">
        <f>0.00006*SIN(RADIANS(AT56))</f>
        <v>3.5921261342872755E-5</v>
      </c>
      <c r="AW56" s="25">
        <f>0.00208 * AT36*AT36*SIN(RADIANS(2*AT37))</f>
        <v>2.067852580661278E-3</v>
      </c>
      <c r="AX56" s="26" t="s">
        <v>134</v>
      </c>
      <c r="AY56" s="26" t="s">
        <v>97</v>
      </c>
      <c r="AZ56" s="26" t="s">
        <v>31</v>
      </c>
      <c r="BB56" s="66"/>
    </row>
    <row r="57" spans="3:54" ht="18" x14ac:dyDescent="0.25">
      <c r="C57" s="2" t="s">
        <v>32</v>
      </c>
      <c r="D57" s="89" t="s">
        <v>150</v>
      </c>
      <c r="E57">
        <f xml:space="preserve"> 154.84 + 7.30686*INT(D33)</f>
        <v>1784.2697800000001</v>
      </c>
      <c r="F57" s="27" t="s">
        <v>106</v>
      </c>
      <c r="G57" s="25">
        <f>0.000056*SIN(RADIANS(E57))</f>
        <v>-1.5182057464202607E-5</v>
      </c>
      <c r="H57" s="25">
        <f>-0.00111*SIN(RADIANS(D38-2*D39))</f>
        <v>9.4415084410364152E-4</v>
      </c>
      <c r="I57" s="26" t="s">
        <v>125</v>
      </c>
      <c r="J57" s="26" t="s">
        <v>97</v>
      </c>
      <c r="K57" s="26" t="s">
        <v>33</v>
      </c>
      <c r="L57" s="61"/>
      <c r="N57" s="2" t="s">
        <v>32</v>
      </c>
      <c r="O57" s="3">
        <f xml:space="preserve"> 154.84 + 7.30686*(O33)</f>
        <v>1787.9232099999999</v>
      </c>
      <c r="P57" s="27" t="s">
        <v>106</v>
      </c>
      <c r="Q57" s="82">
        <f>0.000056*SIN(RADIANS(O57))</f>
        <v>-1.1716457457894249E-5</v>
      </c>
      <c r="R57" s="25">
        <f>-0.00111*SIN(RADIANS(O38-2*O39))</f>
        <v>-7.21085716054338E-4</v>
      </c>
      <c r="S57" s="26" t="s">
        <v>125</v>
      </c>
      <c r="T57" s="26" t="s">
        <v>97</v>
      </c>
      <c r="U57" s="26" t="s">
        <v>33</v>
      </c>
      <c r="V57" s="61"/>
      <c r="X57" s="2" t="s">
        <v>32</v>
      </c>
      <c r="Y57" s="3">
        <f xml:space="preserve"> 154.84 + 7.30686*(Y33)</f>
        <v>1786.096495</v>
      </c>
      <c r="Z57" s="27" t="s">
        <v>106</v>
      </c>
      <c r="AA57" s="99">
        <f>0.000056*SIN(RADIANS(Y57))</f>
        <v>-1.3456095768315297E-5</v>
      </c>
      <c r="AB57" s="82">
        <f>-0.0018*SIN(RADIANS(Y38-2*Y39))</f>
        <v>-1.1715251490388833E-3</v>
      </c>
      <c r="AC57" s="26" t="s">
        <v>82</v>
      </c>
      <c r="AD57" s="26" t="s">
        <v>97</v>
      </c>
      <c r="AE57" s="26" t="s">
        <v>62</v>
      </c>
      <c r="AF57" s="61"/>
      <c r="AH57" s="2" t="s">
        <v>32</v>
      </c>
      <c r="AI57" s="101">
        <f xml:space="preserve"> 154.84 + 7.30686*(AI33)</f>
        <v>1789.7499250000001</v>
      </c>
      <c r="AJ57" s="27" t="s">
        <v>106</v>
      </c>
      <c r="AK57" s="99">
        <f>0.000056*SIN(RADIANS(AI57))</f>
        <v>-9.964910680477131E-6</v>
      </c>
      <c r="AL57" s="25">
        <f>-0.0018*SIN(RADIANS(AI38-2*AI39))</f>
        <v>1.5325740366756136E-3</v>
      </c>
      <c r="AM57" s="26" t="s">
        <v>82</v>
      </c>
      <c r="AN57" s="26" t="s">
        <v>97</v>
      </c>
      <c r="AO57" s="26" t="s">
        <v>62</v>
      </c>
      <c r="AQ57" s="61"/>
      <c r="AS57" s="2" t="s">
        <v>32</v>
      </c>
      <c r="AT57" s="6">
        <f xml:space="preserve"> 154.84 + 7.30686*INT(AT33)</f>
        <v>1791.57664</v>
      </c>
      <c r="AU57" s="27" t="s">
        <v>106</v>
      </c>
      <c r="AV57" s="25">
        <f>0.000056*SIN(RADIANS(AT57))</f>
        <v>-8.2032356872253947E-6</v>
      </c>
      <c r="AW57" s="25">
        <f>-0.00111*SIN(RADIANS(AT38-2*AT39))</f>
        <v>4.2927480279241235E-4</v>
      </c>
      <c r="AX57" s="26" t="s">
        <v>125</v>
      </c>
      <c r="AY57" s="26" t="s">
        <v>97</v>
      </c>
      <c r="AZ57" s="26" t="s">
        <v>33</v>
      </c>
      <c r="BB57" s="66"/>
    </row>
    <row r="58" spans="3:54" ht="18" x14ac:dyDescent="0.25">
      <c r="C58" s="2" t="s">
        <v>34</v>
      </c>
      <c r="D58" s="89" t="s">
        <v>151</v>
      </c>
      <c r="E58">
        <f xml:space="preserve">   34.52 + 27.261239*INT(D33)</f>
        <v>6113.7762970000003</v>
      </c>
      <c r="F58" s="27" t="s">
        <v>107</v>
      </c>
      <c r="G58" s="25">
        <f>0.000047*SIN(RADIANS(E58))</f>
        <v>-5.0952992399181342E-6</v>
      </c>
      <c r="H58" s="25">
        <f>-0.00057*SIN(RADIANS(D38+2*D39))</f>
        <v>-2.0234649453298751E-4</v>
      </c>
      <c r="I58" s="26" t="s">
        <v>126</v>
      </c>
      <c r="J58" s="26" t="s">
        <v>97</v>
      </c>
      <c r="K58" s="26" t="s">
        <v>35</v>
      </c>
      <c r="L58" s="61"/>
      <c r="N58" s="2" t="s">
        <v>34</v>
      </c>
      <c r="O58" s="3">
        <f xml:space="preserve">   34.52 + 27.261239*(O33)</f>
        <v>6127.4069165000001</v>
      </c>
      <c r="P58" s="27" t="s">
        <v>107</v>
      </c>
      <c r="Q58" s="82">
        <f>0.000047*SIN(RADIANS(O58))</f>
        <v>6.0590193780107536E-6</v>
      </c>
      <c r="R58" s="25">
        <f>-0.00057*SIN(RADIANS(O38+2*O39))</f>
        <v>-2.2075460264144194E-4</v>
      </c>
      <c r="S58" s="26" t="s">
        <v>126</v>
      </c>
      <c r="T58" s="26" t="s">
        <v>97</v>
      </c>
      <c r="U58" s="26" t="s">
        <v>35</v>
      </c>
      <c r="V58" s="61"/>
      <c r="X58" s="2" t="s">
        <v>34</v>
      </c>
      <c r="Y58" s="3">
        <f xml:space="preserve">   34.52 + 27.261239*(Y33)</f>
        <v>6120.5916067500002</v>
      </c>
      <c r="Z58" s="27" t="s">
        <v>107</v>
      </c>
      <c r="AA58" s="99">
        <f>0.000047*SIN(RADIANS(Y58))</f>
        <v>4.8528920288784632E-7</v>
      </c>
      <c r="AB58" s="82">
        <f>-0.0007*SIN(RADIANS(Y38+2*Y39))</f>
        <v>-6.9989414894330827E-4</v>
      </c>
      <c r="AC58" s="26" t="s">
        <v>83</v>
      </c>
      <c r="AD58" s="26" t="s">
        <v>97</v>
      </c>
      <c r="AE58" s="26" t="s">
        <v>63</v>
      </c>
      <c r="AF58" s="61"/>
      <c r="AH58" s="2" t="s">
        <v>34</v>
      </c>
      <c r="AI58" s="101">
        <f xml:space="preserve">   34.52 + 27.261239*(AI33)</f>
        <v>6134.2222262499999</v>
      </c>
      <c r="AJ58" s="27" t="s">
        <v>107</v>
      </c>
      <c r="AK58" s="99">
        <f>0.000047*SIN(RADIANS(AI58))</f>
        <v>1.1547121485284553E-5</v>
      </c>
      <c r="AL58" s="25">
        <f>-0.0007*SIN(RADIANS(AI38+2*AI39))</f>
        <v>4.9862930328161488E-4</v>
      </c>
      <c r="AM58" s="26" t="s">
        <v>83</v>
      </c>
      <c r="AN58" s="26" t="s">
        <v>97</v>
      </c>
      <c r="AO58" s="26" t="s">
        <v>63</v>
      </c>
      <c r="AQ58" s="61"/>
      <c r="AS58" s="2" t="s">
        <v>34</v>
      </c>
      <c r="AT58" s="6">
        <f xml:space="preserve">   34.52 + 27.261239*INT(AT33)</f>
        <v>6141.0375360000007</v>
      </c>
      <c r="AU58" s="27" t="s">
        <v>107</v>
      </c>
      <c r="AV58" s="25">
        <f>0.000047*SIN(RADIANS(AT58))</f>
        <v>1.6872035848748114E-5</v>
      </c>
      <c r="AW58" s="25">
        <f>-0.00057*SIN(RADIANS(AT38+2*AT39))</f>
        <v>5.2218676296199719E-4</v>
      </c>
      <c r="AX58" s="26" t="s">
        <v>126</v>
      </c>
      <c r="AY58" s="26" t="s">
        <v>97</v>
      </c>
      <c r="AZ58" s="26" t="s">
        <v>35</v>
      </c>
      <c r="BB58" s="66"/>
    </row>
    <row r="59" spans="3:54" ht="18" x14ac:dyDescent="0.25">
      <c r="C59" s="2" t="s">
        <v>36</v>
      </c>
      <c r="D59" s="89" t="s">
        <v>152</v>
      </c>
      <c r="E59">
        <f xml:space="preserve"> 207.19 + 0.121824 *INT(D33)</f>
        <v>234.356752</v>
      </c>
      <c r="F59" s="27" t="s">
        <v>108</v>
      </c>
      <c r="G59" s="25">
        <f>0.000042*SIN(RADIANS(E59))</f>
        <v>-3.4131767518716262E-5</v>
      </c>
      <c r="H59" s="25">
        <f>0.00056 * D36*SIN(RADIANS(2*D38+D37))</f>
        <v>4.3210233712153936E-4</v>
      </c>
      <c r="I59" s="26" t="s">
        <v>127</v>
      </c>
      <c r="J59" s="26" t="s">
        <v>97</v>
      </c>
      <c r="K59" s="26" t="s">
        <v>37</v>
      </c>
      <c r="L59" s="61"/>
      <c r="N59" s="2" t="s">
        <v>36</v>
      </c>
      <c r="O59" s="3">
        <f xml:space="preserve"> 207.19 + 0.121824 *(O33)</f>
        <v>234.417664</v>
      </c>
      <c r="P59" s="27" t="s">
        <v>108</v>
      </c>
      <c r="Q59" s="82">
        <f>0.000042*SIN(RADIANS(O59))</f>
        <v>-3.4157767895182925E-5</v>
      </c>
      <c r="R59" s="25">
        <f>0.00056 *O36*SIN(RADIANS(2*O38+O37))</f>
        <v>5.5967621117135248E-4</v>
      </c>
      <c r="S59" s="26" t="s">
        <v>127</v>
      </c>
      <c r="T59" s="26" t="s">
        <v>97</v>
      </c>
      <c r="U59" s="26" t="s">
        <v>37</v>
      </c>
      <c r="V59" s="61"/>
      <c r="X59" s="2" t="s">
        <v>36</v>
      </c>
      <c r="Y59" s="3">
        <f xml:space="preserve"> 207.19 + 0.121824 *(Y33)</f>
        <v>234.38720799999999</v>
      </c>
      <c r="Z59" s="27" t="s">
        <v>108</v>
      </c>
      <c r="AA59" s="99">
        <f>0.000042*SIN(RADIANS(Y59))</f>
        <v>-3.4144772530809421E-5</v>
      </c>
      <c r="AB59" s="82">
        <f>-0.0004*SIN(RADIANS(3*Y37))</f>
        <v>-3.4975592092476883E-4</v>
      </c>
      <c r="AC59" s="26" t="s">
        <v>84</v>
      </c>
      <c r="AD59" s="26" t="s">
        <v>97</v>
      </c>
      <c r="AE59" s="26" t="s">
        <v>49</v>
      </c>
      <c r="AF59" s="61"/>
      <c r="AH59" s="2" t="s">
        <v>36</v>
      </c>
      <c r="AI59" s="101">
        <f xml:space="preserve"> 207.19 + 0.121824 *(AI33)</f>
        <v>234.44811999999999</v>
      </c>
      <c r="AJ59" s="27" t="s">
        <v>108</v>
      </c>
      <c r="AK59" s="99">
        <f>0.000042*SIN(RADIANS(AI59))</f>
        <v>-3.4170753608164858E-5</v>
      </c>
      <c r="AL59" s="25">
        <f>-0.0004*SIN(RADIANS(3*AI37))</f>
        <v>-3.8702927710829957E-4</v>
      </c>
      <c r="AM59" s="26" t="s">
        <v>84</v>
      </c>
      <c r="AN59" s="26" t="s">
        <v>97</v>
      </c>
      <c r="AO59" s="26" t="s">
        <v>49</v>
      </c>
      <c r="AQ59" s="61"/>
      <c r="AS59" s="2" t="s">
        <v>36</v>
      </c>
      <c r="AT59" s="6">
        <f xml:space="preserve"> 207.19 + 0.121824 *INT(AT33)</f>
        <v>234.478576</v>
      </c>
      <c r="AU59" s="27" t="s">
        <v>108</v>
      </c>
      <c r="AV59" s="25">
        <f>0.000042*SIN(RADIANS(AT59))</f>
        <v>-3.4183729666086051E-5</v>
      </c>
      <c r="AW59" s="25">
        <f>0.00056 * AT36*SIN(RADIANS(2*AT38+AT37))</f>
        <v>4.2071201398494055E-4</v>
      </c>
      <c r="AX59" s="26" t="s">
        <v>127</v>
      </c>
      <c r="AY59" s="26" t="s">
        <v>97</v>
      </c>
      <c r="AZ59" s="26" t="s">
        <v>37</v>
      </c>
      <c r="BB59" s="66"/>
    </row>
    <row r="60" spans="3:54" ht="18" x14ac:dyDescent="0.25">
      <c r="C60" s="2" t="s">
        <v>38</v>
      </c>
      <c r="D60" s="89" t="s">
        <v>153</v>
      </c>
      <c r="E60">
        <f xml:space="preserve"> 291.34 + 1.844379 *INT(D33)</f>
        <v>702.63651699999991</v>
      </c>
      <c r="F60" s="27" t="s">
        <v>109</v>
      </c>
      <c r="G60" s="25">
        <f>0.00004*SIN(RADIANS(E60))</f>
        <v>-1.1937302169344668E-5</v>
      </c>
      <c r="H60" s="25">
        <f>-0.00042*SIN(RADIANS(3*D38))</f>
        <v>3.4910988988971618E-4</v>
      </c>
      <c r="I60" s="26" t="s">
        <v>128</v>
      </c>
      <c r="J60" s="26" t="s">
        <v>97</v>
      </c>
      <c r="K60" s="26" t="s">
        <v>39</v>
      </c>
      <c r="L60" s="61"/>
      <c r="N60" s="2" t="s">
        <v>38</v>
      </c>
      <c r="O60" s="3">
        <f xml:space="preserve"> 291.34 + 1.844379 *(O33)</f>
        <v>703.55870649999997</v>
      </c>
      <c r="P60" s="27" t="s">
        <v>109</v>
      </c>
      <c r="Q60" s="82">
        <f>0.00004*SIN(RADIANS(O60))</f>
        <v>-1.1321310730631444E-5</v>
      </c>
      <c r="R60" s="25">
        <f>-0.00042*SIN(RADIANS(3*O38))</f>
        <v>-4.1843415395633826E-4</v>
      </c>
      <c r="S60" s="26" t="s">
        <v>128</v>
      </c>
      <c r="T60" s="26" t="s">
        <v>97</v>
      </c>
      <c r="U60" s="26" t="s">
        <v>39</v>
      </c>
      <c r="V60" s="61"/>
      <c r="X60" s="2" t="s">
        <v>38</v>
      </c>
      <c r="Y60" s="3">
        <f xml:space="preserve"> 291.34 + 1.844379 *(Y33)</f>
        <v>703.09761174999994</v>
      </c>
      <c r="Z60" s="27" t="s">
        <v>109</v>
      </c>
      <c r="AA60" s="99">
        <f>0.00004*SIN(RADIANS(Y60))</f>
        <v>-1.1629683041588278E-5</v>
      </c>
      <c r="AB60" s="82">
        <f>-0.00034*Y36*SIN(RADIANS(2*Y38-Y37))</f>
        <v>1.7026486456616643E-4</v>
      </c>
      <c r="AC60" s="26" t="s">
        <v>85</v>
      </c>
      <c r="AD60" s="26" t="s">
        <v>97</v>
      </c>
      <c r="AE60" s="26" t="s">
        <v>64</v>
      </c>
      <c r="AF60" s="61"/>
      <c r="AH60" s="2" t="s">
        <v>38</v>
      </c>
      <c r="AI60" s="101">
        <f xml:space="preserve"> 291.34 + 1.844379 *(AI33)</f>
        <v>704.01980125</v>
      </c>
      <c r="AJ60" s="27" t="s">
        <v>109</v>
      </c>
      <c r="AK60" s="99">
        <f>0.00004*SIN(RADIANS(AI60))</f>
        <v>-1.1012205207856428E-5</v>
      </c>
      <c r="AL60" s="25">
        <f>-0.00034*AI36*SIN(RADIANS(2*AI38-AI37))</f>
        <v>2.2443595795240532E-4</v>
      </c>
      <c r="AM60" s="26" t="s">
        <v>85</v>
      </c>
      <c r="AN60" s="26" t="s">
        <v>97</v>
      </c>
      <c r="AO60" s="26" t="s">
        <v>64</v>
      </c>
      <c r="AQ60" s="61"/>
      <c r="AS60" s="2" t="s">
        <v>38</v>
      </c>
      <c r="AT60" s="6">
        <f xml:space="preserve"> 291.34 + 1.844379 *INT(AT33)</f>
        <v>704.48089600000003</v>
      </c>
      <c r="AU60" s="27" t="s">
        <v>109</v>
      </c>
      <c r="AV60" s="25">
        <f>0.00004*SIN(RADIANS(AT60))</f>
        <v>-1.0702386492130928E-5</v>
      </c>
      <c r="AW60" s="25">
        <f>-0.00042*SIN(RADIANS(3*AT38))</f>
        <v>3.0377548866656072E-4</v>
      </c>
      <c r="AX60" s="26" t="s">
        <v>128</v>
      </c>
      <c r="AY60" s="26" t="s">
        <v>97</v>
      </c>
      <c r="AZ60" s="26" t="s">
        <v>39</v>
      </c>
      <c r="BB60" s="66"/>
    </row>
    <row r="61" spans="3:54" ht="18" x14ac:dyDescent="0.25">
      <c r="C61" s="2" t="s">
        <v>40</v>
      </c>
      <c r="D61" s="89" t="s">
        <v>154</v>
      </c>
      <c r="E61">
        <f xml:space="preserve"> 161.72 + 24.198154*INT(D33)</f>
        <v>5557.9083419999997</v>
      </c>
      <c r="F61" s="27" t="s">
        <v>110</v>
      </c>
      <c r="G61" s="25">
        <f>0.000037*SIN(RADIANS(E61))</f>
        <v>1.3915306352446769E-5</v>
      </c>
      <c r="H61" s="25">
        <f>0.00042 * D36*SIN(RADIANS(D37+2*D39))</f>
        <v>-1.8722846837270271E-4</v>
      </c>
      <c r="I61" s="26" t="s">
        <v>129</v>
      </c>
      <c r="J61" s="26" t="s">
        <v>97</v>
      </c>
      <c r="K61" s="26" t="s">
        <v>41</v>
      </c>
      <c r="L61" s="61"/>
      <c r="N61" s="2" t="s">
        <v>40</v>
      </c>
      <c r="O61" s="3">
        <f xml:space="preserve"> 161.72 + 24.198154*(O33)</f>
        <v>5570.0074189999996</v>
      </c>
      <c r="P61" s="27" t="s">
        <v>110</v>
      </c>
      <c r="Q61" s="82">
        <f>0.000037*SIN(RADIANS(O61))</f>
        <v>6.4202643244398591E-6</v>
      </c>
      <c r="R61" s="25">
        <f>0.00042 *O36*SIN(RADIANS(O37+2*O39))</f>
        <v>1.3485183645359295E-4</v>
      </c>
      <c r="S61" s="26" t="s">
        <v>129</v>
      </c>
      <c r="T61" s="26" t="s">
        <v>97</v>
      </c>
      <c r="U61" s="26" t="s">
        <v>41</v>
      </c>
      <c r="V61" s="61"/>
      <c r="X61" s="2" t="s">
        <v>40</v>
      </c>
      <c r="Y61" s="3">
        <f xml:space="preserve"> 161.72 + 24.198154*(Y33)</f>
        <v>5563.9578805000001</v>
      </c>
      <c r="Z61" s="27" t="s">
        <v>110</v>
      </c>
      <c r="AA61" s="99">
        <f>0.000037*SIN(RADIANS(Y61))</f>
        <v>1.0224725327644371E-5</v>
      </c>
      <c r="AB61" s="82">
        <f>0.00032 *Y36*SIN(RADIANS(Y37+2*Y39))</f>
        <v>2.1614384736272731E-5</v>
      </c>
      <c r="AC61" s="26" t="s">
        <v>86</v>
      </c>
      <c r="AD61" s="26" t="s">
        <v>97</v>
      </c>
      <c r="AE61" s="26" t="s">
        <v>41</v>
      </c>
      <c r="AF61" s="61"/>
      <c r="AH61" s="2" t="s">
        <v>40</v>
      </c>
      <c r="AI61" s="101">
        <f xml:space="preserve"> 161.72 + 24.198154*(AI33)</f>
        <v>5576.0569575</v>
      </c>
      <c r="AJ61" s="27" t="s">
        <v>110</v>
      </c>
      <c r="AK61" s="99">
        <f>0.000037*SIN(RADIANS(AI61))</f>
        <v>2.5442963086564083E-6</v>
      </c>
      <c r="AL61" s="25">
        <f>0.00032 *AI36*SIN(RADIANS(AI37+2*AI39))</f>
        <v>-2.1130738222896057E-4</v>
      </c>
      <c r="AM61" s="26" t="s">
        <v>86</v>
      </c>
      <c r="AN61" s="26" t="s">
        <v>97</v>
      </c>
      <c r="AO61" s="26" t="s">
        <v>41</v>
      </c>
      <c r="AQ61" s="61"/>
      <c r="AS61" s="2" t="s">
        <v>40</v>
      </c>
      <c r="AT61" s="6">
        <f xml:space="preserve"> 161.72 + 24.198154*INT(AT33)</f>
        <v>5582.1064960000003</v>
      </c>
      <c r="AU61" s="27" t="s">
        <v>110</v>
      </c>
      <c r="AV61" s="25">
        <f>0.000037*SIN(RADIANS(AT61))</f>
        <v>-1.3600093298397296E-6</v>
      </c>
      <c r="AW61" s="25">
        <f>0.00042 * AT36*SIN(RADIANS(AT37+2*AT39))</f>
        <v>3.7719288673702841E-4</v>
      </c>
      <c r="AX61" s="26" t="s">
        <v>129</v>
      </c>
      <c r="AY61" s="26" t="s">
        <v>97</v>
      </c>
      <c r="AZ61" s="26" t="s">
        <v>41</v>
      </c>
      <c r="BB61" s="66"/>
    </row>
    <row r="62" spans="3:54" ht="18" x14ac:dyDescent="0.25">
      <c r="C62" s="2" t="s">
        <v>42</v>
      </c>
      <c r="D62" s="89" t="s">
        <v>155</v>
      </c>
      <c r="E62">
        <f xml:space="preserve"> 239.56 + 25.513099 *INT(D33)</f>
        <v>5928.9810770000004</v>
      </c>
      <c r="F62" s="27" t="s">
        <v>111</v>
      </c>
      <c r="G62" s="25">
        <f>0.000035*SIN(RADIANS(E62))</f>
        <v>6.6896614978595454E-6</v>
      </c>
      <c r="H62" s="25">
        <f>0.00038 * D36*SIN(RADIANS(D37-2*D39))</f>
        <v>3.0166896056335672E-4</v>
      </c>
      <c r="I62" s="26" t="s">
        <v>130</v>
      </c>
      <c r="J62" s="26" t="s">
        <v>97</v>
      </c>
      <c r="K62" s="26" t="s">
        <v>43</v>
      </c>
      <c r="L62" s="61"/>
      <c r="N62" s="2" t="s">
        <v>42</v>
      </c>
      <c r="O62" s="3">
        <f xml:space="preserve"> 239.56 + 25.513099 *(O33)</f>
        <v>5941.7376265000003</v>
      </c>
      <c r="P62" s="27" t="s">
        <v>111</v>
      </c>
      <c r="Q62" s="82">
        <f>0.000035*SIN(RADIANS(O62))</f>
        <v>-1.0612929218258727E-6</v>
      </c>
      <c r="R62" s="25">
        <f>0.00038 *O36*SIN(RADIANS(O37-2*O39))</f>
        <v>2.2574009343528356E-4</v>
      </c>
      <c r="S62" s="26" t="s">
        <v>130</v>
      </c>
      <c r="T62" s="26" t="s">
        <v>97</v>
      </c>
      <c r="U62" s="26" t="s">
        <v>43</v>
      </c>
      <c r="V62" s="61"/>
      <c r="X62" s="2" t="s">
        <v>42</v>
      </c>
      <c r="Y62" s="3">
        <f xml:space="preserve"> 239.56 + 25.513099 *(Y33)</f>
        <v>5935.3593517500003</v>
      </c>
      <c r="Z62" s="27" t="s">
        <v>111</v>
      </c>
      <c r="AA62" s="99">
        <f>0.000035*SIN(RADIANS(Y62))</f>
        <v>2.831712263571655E-6</v>
      </c>
      <c r="AB62" s="82">
        <f>0.00032 *Y36*SIN(RADIANS(Y37-2*Y39))</f>
        <v>-2.2428186135247364E-4</v>
      </c>
      <c r="AC62" s="26" t="s">
        <v>86</v>
      </c>
      <c r="AD62" s="26" t="s">
        <v>97</v>
      </c>
      <c r="AE62" s="26" t="s">
        <v>65</v>
      </c>
      <c r="AF62" s="61"/>
      <c r="AH62" s="2" t="s">
        <v>42</v>
      </c>
      <c r="AI62" s="101">
        <f xml:space="preserve"> 239.56 + 25.513099 *(AI33)</f>
        <v>5948.1159012500002</v>
      </c>
      <c r="AJ62" s="27" t="s">
        <v>111</v>
      </c>
      <c r="AK62" s="99">
        <f>0.000035*SIN(RADIANS(AI62))</f>
        <v>-4.9411595432323645E-6</v>
      </c>
      <c r="AL62" s="25">
        <f>0.00032 *AI36*SIN(RADIANS(AI37-2*AI39))</f>
        <v>-1.5215739231869247E-4</v>
      </c>
      <c r="AM62" s="26" t="s">
        <v>86</v>
      </c>
      <c r="AN62" s="26" t="s">
        <v>97</v>
      </c>
      <c r="AO62" s="26" t="s">
        <v>65</v>
      </c>
      <c r="AQ62" s="61"/>
      <c r="AS62" s="2" t="s">
        <v>42</v>
      </c>
      <c r="AT62" s="6">
        <f xml:space="preserve"> 239.56 + 25.513099 *INT(AT33)</f>
        <v>5954.4941760000002</v>
      </c>
      <c r="AU62" s="27" t="s">
        <v>111</v>
      </c>
      <c r="AV62" s="25">
        <f>0.000035*SIN(RADIANS(AT62))</f>
        <v>-8.7598557379672579E-6</v>
      </c>
      <c r="AW62" s="25">
        <f>0.00038 * AT36*SIN(RADIANS(AT37-2*AT39))</f>
        <v>1.3206499465537381E-4</v>
      </c>
      <c r="AX62" s="26" t="s">
        <v>130</v>
      </c>
      <c r="AY62" s="26" t="s">
        <v>97</v>
      </c>
      <c r="AZ62" s="26" t="s">
        <v>43</v>
      </c>
      <c r="BB62" s="66"/>
    </row>
    <row r="63" spans="3:54" ht="18" x14ac:dyDescent="0.25">
      <c r="C63" s="2" t="s">
        <v>44</v>
      </c>
      <c r="D63" s="89" t="s">
        <v>156</v>
      </c>
      <c r="E63">
        <f xml:space="preserve"> 331.55 + 3.592518*INT(D33)</f>
        <v>1132.6815140000001</v>
      </c>
      <c r="F63" s="27" t="s">
        <v>112</v>
      </c>
      <c r="G63" s="25">
        <f>0.000023*SIN(RADIANS(E63))</f>
        <v>1.8291392215400266E-5</v>
      </c>
      <c r="H63" s="25">
        <f>-0.00024 * D36*SIN(RADIANS(2*D38-D37))</f>
        <v>-9.9231563513366529E-5</v>
      </c>
      <c r="I63" s="26" t="s">
        <v>131</v>
      </c>
      <c r="J63" s="26" t="s">
        <v>97</v>
      </c>
      <c r="K63" s="26" t="s">
        <v>45</v>
      </c>
      <c r="L63" s="61"/>
      <c r="N63" s="2" t="s">
        <v>44</v>
      </c>
      <c r="O63" s="3">
        <f xml:space="preserve"> 331.55 + 3.592518*(O33)</f>
        <v>1134.4777730000001</v>
      </c>
      <c r="P63" s="27" t="s">
        <v>112</v>
      </c>
      <c r="Q63" s="82">
        <f>0.000023*SIN(RADIANS(O63))</f>
        <v>1.8719474197244844E-5</v>
      </c>
      <c r="R63" s="25">
        <f>-0.00024 *O36*SIN(RADIANS(2*O38-O37))</f>
        <v>-1.3998194221159955E-4</v>
      </c>
      <c r="S63" s="26" t="s">
        <v>131</v>
      </c>
      <c r="T63" s="26" t="s">
        <v>97</v>
      </c>
      <c r="U63" s="26" t="s">
        <v>45</v>
      </c>
      <c r="V63" s="61"/>
      <c r="X63" s="2" t="s">
        <v>44</v>
      </c>
      <c r="Y63" s="3">
        <f xml:space="preserve"> 331.55 + 3.592518*(Y33)</f>
        <v>1133.5796435</v>
      </c>
      <c r="Z63" s="27" t="s">
        <v>112</v>
      </c>
      <c r="AA63" s="99">
        <f>0.000023*SIN(RADIANS(Y63))</f>
        <v>1.8507706975550148E-5</v>
      </c>
      <c r="AB63" s="82">
        <f>-0.00028 *Y36*Y36*SIN(RADIANS(Y38-2*Y37))</f>
        <v>2.6963247826442281E-4</v>
      </c>
      <c r="AC63" s="26" t="s">
        <v>96</v>
      </c>
      <c r="AD63" s="26" t="s">
        <v>97</v>
      </c>
      <c r="AE63" s="26" t="s">
        <v>66</v>
      </c>
      <c r="AF63" s="61"/>
      <c r="AH63" s="2" t="s">
        <v>44</v>
      </c>
      <c r="AI63" s="101">
        <f xml:space="preserve"> 331.55 + 3.592518*(AI33)</f>
        <v>1135.3759024999999</v>
      </c>
      <c r="AJ63" s="27" t="s">
        <v>112</v>
      </c>
      <c r="AK63" s="99">
        <f>0.000023*SIN(RADIANS(AI63))</f>
        <v>1.8926641847048365E-5</v>
      </c>
      <c r="AL63" s="25">
        <f>-0.00028 *AI36*SIN(RADIANS(AI38-2*AI37))</f>
        <v>-2.3824687941484339E-4</v>
      </c>
      <c r="AM63" s="26" t="s">
        <v>96</v>
      </c>
      <c r="AN63" s="26" t="s">
        <v>97</v>
      </c>
      <c r="AO63" s="26" t="s">
        <v>66</v>
      </c>
      <c r="AQ63" s="61"/>
      <c r="AS63" s="2" t="s">
        <v>44</v>
      </c>
      <c r="AT63" s="6">
        <f xml:space="preserve"> 331.55 + 3.592518*INT(AT33)</f>
        <v>1136.274032</v>
      </c>
      <c r="AU63" s="27" t="s">
        <v>112</v>
      </c>
      <c r="AV63" s="25">
        <f>0.000023*SIN(RADIANS(AT63))</f>
        <v>1.9129159021688164E-5</v>
      </c>
      <c r="AW63" s="25">
        <f>-0.00024 * AT36*SIN(RADIANS(2*AT38-AT37))</f>
        <v>-1.753392136858765E-4</v>
      </c>
      <c r="AX63" s="26" t="s">
        <v>131</v>
      </c>
      <c r="AY63" s="26" t="s">
        <v>97</v>
      </c>
      <c r="AZ63" s="26" t="s">
        <v>45</v>
      </c>
      <c r="BB63" s="66"/>
    </row>
    <row r="64" spans="3:54" x14ac:dyDescent="0.25">
      <c r="F64" s="28" t="s">
        <v>113</v>
      </c>
      <c r="G64" s="85">
        <f>SUM(G50:G63)</f>
        <v>-1.8421565790141138E-4</v>
      </c>
      <c r="H64" s="25">
        <f>-0.00017*SIN(RADIANS(D40))</f>
        <v>-1.179699434449813E-4</v>
      </c>
      <c r="I64" s="26" t="s">
        <v>88</v>
      </c>
      <c r="J64" s="26" t="s">
        <v>97</v>
      </c>
      <c r="K64" s="26" t="s">
        <v>46</v>
      </c>
      <c r="L64" s="61"/>
      <c r="N64" s="2"/>
      <c r="O64" s="28"/>
      <c r="P64" s="28" t="s">
        <v>113</v>
      </c>
      <c r="Q64" s="83">
        <f>SUM(Q50:Q63)</f>
        <v>-2.5933783304244167E-4</v>
      </c>
      <c r="R64" s="25">
        <f>-0.00017*SIN(RADIANS(O40))</f>
        <v>-1.1962929353928944E-4</v>
      </c>
      <c r="S64" s="26" t="s">
        <v>88</v>
      </c>
      <c r="T64" s="26" t="s">
        <v>97</v>
      </c>
      <c r="U64" s="26" t="s">
        <v>46</v>
      </c>
      <c r="V64" s="61"/>
      <c r="Z64" s="28" t="s">
        <v>113</v>
      </c>
      <c r="AA64" s="100">
        <f>SUM(AA50:AA63)</f>
        <v>-2.2064327719293033E-4</v>
      </c>
      <c r="AB64" s="88">
        <f>-0.00027*Y36*SIN(RADIANS(Y40))</f>
        <v>-1.8860040471255527E-4</v>
      </c>
      <c r="AC64" s="26" t="s">
        <v>87</v>
      </c>
      <c r="AD64" s="26" t="s">
        <v>97</v>
      </c>
      <c r="AE64" s="26" t="s">
        <v>67</v>
      </c>
      <c r="AF64" s="61"/>
      <c r="AH64" s="2"/>
      <c r="AJ64" s="28" t="s">
        <v>113</v>
      </c>
      <c r="AK64" s="100">
        <f>SUM(AK50:AK63)</f>
        <v>-2.9903435531343161E-4</v>
      </c>
      <c r="AL64" s="86">
        <f>-0.00027*AI36*SIN(RADIANS(AI40))</f>
        <v>-1.9121682896297714E-4</v>
      </c>
      <c r="AM64" s="26" t="s">
        <v>87</v>
      </c>
      <c r="AN64" s="26" t="s">
        <v>97</v>
      </c>
      <c r="AO64" s="26" t="s">
        <v>67</v>
      </c>
      <c r="AQ64" s="61"/>
      <c r="AU64" s="28" t="s">
        <v>113</v>
      </c>
      <c r="AV64" s="85">
        <f>SUM(AV50:AV63)</f>
        <v>-3.3845896122473672E-4</v>
      </c>
      <c r="AW64" s="25">
        <f>-0.00017*SIN(RADIANS(AT40))</f>
        <v>-1.2126636630549676E-4</v>
      </c>
      <c r="AX64" s="26" t="s">
        <v>88</v>
      </c>
      <c r="AY64" s="26" t="s">
        <v>97</v>
      </c>
      <c r="AZ64" s="26" t="s">
        <v>46</v>
      </c>
      <c r="BB64" s="66"/>
    </row>
    <row r="65" spans="7:54" x14ac:dyDescent="0.25">
      <c r="H65" s="25">
        <f>-0.00007*SIN(RADIANS(D38+2*D37))</f>
        <v>4.9356545704877085E-5</v>
      </c>
      <c r="I65" s="26" t="s">
        <v>132</v>
      </c>
      <c r="J65" s="26" t="s">
        <v>97</v>
      </c>
      <c r="K65" s="26" t="s">
        <v>47</v>
      </c>
      <c r="L65" s="61"/>
      <c r="O65" s="2"/>
      <c r="P65" s="2"/>
      <c r="R65" s="25">
        <f>-0.00007*SIN(RADIANS(O38+2*O37))</f>
        <v>-6.9894298909899835E-5</v>
      </c>
      <c r="S65" s="26" t="s">
        <v>132</v>
      </c>
      <c r="T65" s="26" t="s">
        <v>97</v>
      </c>
      <c r="U65" s="26" t="s">
        <v>47</v>
      </c>
      <c r="V65" s="61"/>
      <c r="AB65" s="82">
        <f>-0.00017*SIN(RADIANS(Y40))</f>
        <v>-1.1880238394198499E-4</v>
      </c>
      <c r="AC65" s="26" t="s">
        <v>88</v>
      </c>
      <c r="AD65" s="26" t="s">
        <v>97</v>
      </c>
      <c r="AE65" s="26" t="s">
        <v>46</v>
      </c>
      <c r="AF65" s="61"/>
      <c r="AL65" s="25">
        <f>-0.00017*SIN(RADIANS(AI40))</f>
        <v>-1.2045063373974712E-4</v>
      </c>
      <c r="AM65" s="26" t="s">
        <v>88</v>
      </c>
      <c r="AN65" s="26" t="s">
        <v>97</v>
      </c>
      <c r="AO65" s="26" t="s">
        <v>46</v>
      </c>
      <c r="AQ65" s="61"/>
      <c r="AW65" s="25">
        <f>-0.00007*SIN(RADIANS(AT38+2*AT37))</f>
        <v>5.4504053275424259E-5</v>
      </c>
      <c r="AX65" s="26" t="s">
        <v>132</v>
      </c>
      <c r="AY65" s="26" t="s">
        <v>97</v>
      </c>
      <c r="AZ65" s="26" t="s">
        <v>47</v>
      </c>
      <c r="BB65" s="66"/>
    </row>
    <row r="66" spans="7:54" x14ac:dyDescent="0.25">
      <c r="H66" s="25">
        <f>0.00004*SIN(RADIANS(2*D38-2*D39))</f>
        <v>3.897742637847579E-5</v>
      </c>
      <c r="I66" s="26" t="s">
        <v>90</v>
      </c>
      <c r="J66" s="26" t="s">
        <v>97</v>
      </c>
      <c r="K66" s="26" t="s">
        <v>48</v>
      </c>
      <c r="L66" s="61"/>
      <c r="O66" s="2"/>
      <c r="P66" s="2"/>
      <c r="R66" s="25">
        <f>0.00004*SIN(RADIANS(2*O38-2*O39))</f>
        <v>3.8077304303083377E-5</v>
      </c>
      <c r="S66" s="26" t="s">
        <v>90</v>
      </c>
      <c r="T66" s="26" t="s">
        <v>97</v>
      </c>
      <c r="U66" s="26" t="s">
        <v>48</v>
      </c>
      <c r="V66" s="61"/>
      <c r="AB66" s="82">
        <f>-0.00005*SIN(RADIANS(Y38-Y37-2*Y39))</f>
        <v>-4.3701250841316936E-5</v>
      </c>
      <c r="AC66" s="26" t="s">
        <v>89</v>
      </c>
      <c r="AD66" s="26" t="s">
        <v>97</v>
      </c>
      <c r="AE66" s="26" t="s">
        <v>68</v>
      </c>
      <c r="AF66" s="61"/>
      <c r="AL66" s="25">
        <f>-0.00005*SIN(RADIANS(AI38-AI37-2*AI39))</f>
        <v>4.9919855044772664E-5</v>
      </c>
      <c r="AM66" s="26" t="s">
        <v>89</v>
      </c>
      <c r="AN66" s="26" t="s">
        <v>97</v>
      </c>
      <c r="AO66" s="26" t="s">
        <v>68</v>
      </c>
      <c r="AQ66" s="61"/>
      <c r="AW66" s="25">
        <f>0.00004*SIN(RADIANS(2*AT38-2*AT39))</f>
        <v>3.6904106751041191E-5</v>
      </c>
      <c r="AX66" s="26" t="s">
        <v>90</v>
      </c>
      <c r="AY66" s="26" t="s">
        <v>97</v>
      </c>
      <c r="AZ66" s="26" t="s">
        <v>48</v>
      </c>
      <c r="BB66" s="66"/>
    </row>
    <row r="67" spans="7:54" x14ac:dyDescent="0.25">
      <c r="H67" s="25">
        <f>0.00004*SIN(RADIANS(3*D37))</f>
        <v>2.5250767715809738E-5</v>
      </c>
      <c r="I67" s="26" t="s">
        <v>90</v>
      </c>
      <c r="J67" s="26" t="s">
        <v>97</v>
      </c>
      <c r="K67" s="26" t="s">
        <v>49</v>
      </c>
      <c r="L67" s="61"/>
      <c r="O67" s="2"/>
      <c r="P67" s="2"/>
      <c r="R67" s="25">
        <f>0.00004*SIN(RADIANS(3*O37))</f>
        <v>3.9684750649446812E-5</v>
      </c>
      <c r="S67" s="26" t="s">
        <v>90</v>
      </c>
      <c r="T67" s="26" t="s">
        <v>97</v>
      </c>
      <c r="U67" s="26" t="s">
        <v>49</v>
      </c>
      <c r="V67" s="61"/>
      <c r="AB67" s="82">
        <f>0.00004*SIN(RADIANS(2*Y37+2*Y39))</f>
        <v>-1.1326824025051235E-5</v>
      </c>
      <c r="AC67" s="26" t="s">
        <v>90</v>
      </c>
      <c r="AD67" s="26" t="s">
        <v>97</v>
      </c>
      <c r="AE67" s="26" t="s">
        <v>69</v>
      </c>
      <c r="AF67" s="61"/>
      <c r="AL67" s="25">
        <f>0.00004*SIN(RADIANS(2*AI37+2*AI39))</f>
        <v>-3.8849594942927158E-5</v>
      </c>
      <c r="AM67" s="26" t="s">
        <v>90</v>
      </c>
      <c r="AN67" s="26" t="s">
        <v>97</v>
      </c>
      <c r="AO67" s="26" t="s">
        <v>69</v>
      </c>
      <c r="AQ67" s="61"/>
      <c r="AW67" s="25">
        <f>0.00004*SIN(RADIANS(3*AT37))</f>
        <v>3.2170921343500224E-5</v>
      </c>
      <c r="AX67" s="26" t="s">
        <v>90</v>
      </c>
      <c r="AY67" s="26" t="s">
        <v>97</v>
      </c>
      <c r="AZ67" s="26" t="s">
        <v>49</v>
      </c>
      <c r="BB67" s="66"/>
    </row>
    <row r="68" spans="7:54" x14ac:dyDescent="0.25">
      <c r="H68" s="25">
        <f>0.00003*SIN(RADIANS(D38+D37-2*D39))</f>
        <v>-2.8420241247239354E-5</v>
      </c>
      <c r="I68" s="26" t="s">
        <v>92</v>
      </c>
      <c r="J68" s="26" t="s">
        <v>97</v>
      </c>
      <c r="K68" s="26" t="s">
        <v>50</v>
      </c>
      <c r="L68" s="61"/>
      <c r="O68" s="2"/>
      <c r="P68" s="2"/>
      <c r="R68" s="25">
        <f>0.00003*SIN(RADIANS(O38+O37-2*O39))</f>
        <v>2.7837837994323202E-5</v>
      </c>
      <c r="S68" s="26" t="s">
        <v>92</v>
      </c>
      <c r="T68" s="26" t="s">
        <v>97</v>
      </c>
      <c r="U68" s="26" t="s">
        <v>50</v>
      </c>
      <c r="V68" s="61"/>
      <c r="AB68" s="82">
        <f>-0.00004*SIN(RADIANS(Y38+Y37-2*Y39))</f>
        <v>-1.386513869759544E-5</v>
      </c>
      <c r="AC68" s="26" t="s">
        <v>91</v>
      </c>
      <c r="AD68" s="26" t="s">
        <v>97</v>
      </c>
      <c r="AE68" s="26" t="s">
        <v>70</v>
      </c>
      <c r="AF68" s="61"/>
      <c r="AL68" s="25">
        <f>-0.00004*SIN(RADIANS(AI38+AI37-2*AI39))</f>
        <v>1.5943937938973494E-5</v>
      </c>
      <c r="AM68" s="26" t="s">
        <v>91</v>
      </c>
      <c r="AN68" s="26" t="s">
        <v>97</v>
      </c>
      <c r="AO68" s="26" t="s">
        <v>70</v>
      </c>
      <c r="AQ68" s="61"/>
      <c r="AW68" s="25">
        <f>0.00003*SIN(RADIANS(AT38+AT37-2*AT39))</f>
        <v>-2.7168115064802523E-5</v>
      </c>
      <c r="AX68" s="26" t="s">
        <v>92</v>
      </c>
      <c r="AY68" s="26" t="s">
        <v>97</v>
      </c>
      <c r="AZ68" s="26" t="s">
        <v>50</v>
      </c>
      <c r="BB68" s="66"/>
    </row>
    <row r="69" spans="7:54" x14ac:dyDescent="0.25">
      <c r="H69" s="25">
        <f>0.00003*SIN(RADIANS(2*D38+2*D39))</f>
        <v>-1.0741168959592267E-6</v>
      </c>
      <c r="I69" s="26" t="s">
        <v>92</v>
      </c>
      <c r="J69" s="26" t="s">
        <v>97</v>
      </c>
      <c r="K69" s="26" t="s">
        <v>51</v>
      </c>
      <c r="L69" s="61"/>
      <c r="O69" s="2"/>
      <c r="P69" s="2"/>
      <c r="R69" s="25">
        <f>0.00003*SIN(RADIANS(2*O38+2*O39))</f>
        <v>2.4403865908963734E-5</v>
      </c>
      <c r="S69" s="26" t="s">
        <v>92</v>
      </c>
      <c r="T69" s="26" t="s">
        <v>97</v>
      </c>
      <c r="U69" s="26" t="s">
        <v>51</v>
      </c>
      <c r="V69" s="61"/>
      <c r="AB69" s="82">
        <f>0.00004*SIN(RADIANS(Y38-2*Y37))</f>
        <v>-3.8553953503746691E-5</v>
      </c>
      <c r="AC69" s="26" t="s">
        <v>90</v>
      </c>
      <c r="AD69" s="26" t="s">
        <v>97</v>
      </c>
      <c r="AE69" s="26" t="s">
        <v>71</v>
      </c>
      <c r="AF69" s="61"/>
      <c r="AL69" s="25">
        <f>0.00004*SIN(RADIANS(AI38-2*AI37))</f>
        <v>3.4050775019176563E-5</v>
      </c>
      <c r="AM69" s="26" t="s">
        <v>90</v>
      </c>
      <c r="AN69" s="26" t="s">
        <v>97</v>
      </c>
      <c r="AO69" s="26" t="s">
        <v>71</v>
      </c>
      <c r="AQ69" s="61"/>
      <c r="AW69" s="25">
        <f>0.00003*SIN(RADIANS(2*AT38+2*AT39))</f>
        <v>2.8021830124357683E-5</v>
      </c>
      <c r="AX69" s="26" t="s">
        <v>92</v>
      </c>
      <c r="AY69" s="26" t="s">
        <v>97</v>
      </c>
      <c r="AZ69" s="26" t="s">
        <v>51</v>
      </c>
      <c r="BB69" s="66"/>
    </row>
    <row r="70" spans="7:54" x14ac:dyDescent="0.25">
      <c r="H70" s="25">
        <f>-0.00003*SIN(RADIANS(D38+D37+2*D39))</f>
        <v>-4.0429993416309397E-6</v>
      </c>
      <c r="I70" s="26" t="s">
        <v>133</v>
      </c>
      <c r="J70" s="26" t="s">
        <v>97</v>
      </c>
      <c r="K70" s="26" t="s">
        <v>52</v>
      </c>
      <c r="L70" s="61"/>
      <c r="O70" s="2"/>
      <c r="P70" s="2"/>
      <c r="R70" s="25">
        <f>-0.00003*SIN(RADIANS(O38+O37+2*O39))</f>
        <v>-2.3110898805288037E-5</v>
      </c>
      <c r="S70" s="26" t="s">
        <v>133</v>
      </c>
      <c r="T70" s="26" t="s">
        <v>97</v>
      </c>
      <c r="U70" s="26" t="s">
        <v>52</v>
      </c>
      <c r="V70" s="61"/>
      <c r="AB70" s="82">
        <f>0.00003*SIN(RADIANS(Y38+Y37-2*Y39))</f>
        <v>1.0398854023196579E-5</v>
      </c>
      <c r="AC70" s="26" t="s">
        <v>92</v>
      </c>
      <c r="AD70" s="26" t="s">
        <v>97</v>
      </c>
      <c r="AE70" s="26" t="s">
        <v>72</v>
      </c>
      <c r="AF70" s="61"/>
      <c r="AL70" s="25">
        <f>0.00003*SIN(RADIANS(AI38+AI37-2*AI39))</f>
        <v>-1.195795345423012E-5</v>
      </c>
      <c r="AM70" s="26" t="s">
        <v>92</v>
      </c>
      <c r="AN70" s="26" t="s">
        <v>97</v>
      </c>
      <c r="AO70" s="26" t="s">
        <v>72</v>
      </c>
      <c r="AQ70" s="61"/>
      <c r="AW70" s="25">
        <f>-0.00003*SIN(RADIANS(AT38+AT37+2*AT39))</f>
        <v>2.8446688903104038E-5</v>
      </c>
      <c r="AX70" s="26" t="s">
        <v>133</v>
      </c>
      <c r="AY70" s="26" t="s">
        <v>97</v>
      </c>
      <c r="AZ70" s="26" t="s">
        <v>52</v>
      </c>
      <c r="BB70" s="66"/>
    </row>
    <row r="71" spans="7:54" x14ac:dyDescent="0.25">
      <c r="H71" s="25">
        <f>0.00003*SIN(RADIANS(D38-D37+2*D39))</f>
        <v>1.6706707142532016E-5</v>
      </c>
      <c r="I71" s="26" t="s">
        <v>92</v>
      </c>
      <c r="J71" s="26" t="s">
        <v>97</v>
      </c>
      <c r="K71" s="26" t="s">
        <v>53</v>
      </c>
      <c r="L71" s="61"/>
      <c r="O71" s="2"/>
      <c r="P71" s="2"/>
      <c r="R71" s="25">
        <f>0.00003*SIN(RADIANS(O38-O37+2*O39))</f>
        <v>-2.518013210526022E-6</v>
      </c>
      <c r="S71" s="26" t="s">
        <v>92</v>
      </c>
      <c r="T71" s="26" t="s">
        <v>97</v>
      </c>
      <c r="U71" s="26" t="s">
        <v>53</v>
      </c>
      <c r="V71" s="61"/>
      <c r="AB71" s="82">
        <f>0.00003*SIN(RADIANS(3*Y37))</f>
        <v>2.6231694069357662E-5</v>
      </c>
      <c r="AC71" s="26" t="s">
        <v>92</v>
      </c>
      <c r="AD71" s="26" t="s">
        <v>97</v>
      </c>
      <c r="AE71" s="26" t="s">
        <v>49</v>
      </c>
      <c r="AF71" s="61"/>
      <c r="AL71" s="25">
        <f>0.00003*SIN(RADIANS(3*AI37))</f>
        <v>2.9027195783122467E-5</v>
      </c>
      <c r="AM71" s="26" t="s">
        <v>92</v>
      </c>
      <c r="AN71" s="26" t="s">
        <v>97</v>
      </c>
      <c r="AO71" s="26" t="s">
        <v>49</v>
      </c>
      <c r="AQ71" s="61"/>
      <c r="AW71" s="25">
        <f>0.00003*SIN(RADIANS(AT38-AT37+2*AT39))</f>
        <v>-1.2303220068797753E-5</v>
      </c>
      <c r="AX71" s="26" t="s">
        <v>92</v>
      </c>
      <c r="AY71" s="26" t="s">
        <v>97</v>
      </c>
      <c r="AZ71" s="26" t="s">
        <v>53</v>
      </c>
      <c r="BB71" s="66"/>
    </row>
    <row r="72" spans="7:54" x14ac:dyDescent="0.25">
      <c r="H72" s="25">
        <f>-0.00002*SIN(RADIANS(D38-D37-2*D39))</f>
        <v>1.4198191806403776E-5</v>
      </c>
      <c r="I72" s="26" t="s">
        <v>94</v>
      </c>
      <c r="J72" s="26" t="s">
        <v>97</v>
      </c>
      <c r="K72" s="26" t="s">
        <v>54</v>
      </c>
      <c r="L72" s="61"/>
      <c r="O72" s="2"/>
      <c r="P72" s="2"/>
      <c r="R72" s="25">
        <f>-0.00002*SIN(RADIANS(O38-O37-2*O39))</f>
        <v>-4.4693739609472534E-6</v>
      </c>
      <c r="S72" s="26" t="s">
        <v>94</v>
      </c>
      <c r="T72" s="26" t="s">
        <v>97</v>
      </c>
      <c r="U72" s="26" t="s">
        <v>54</v>
      </c>
      <c r="V72" s="61"/>
      <c r="AB72" s="82">
        <f>0.00002*SIN(RADIANS(2*Y38-2*Y39))</f>
        <v>1.9280974872435946E-5</v>
      </c>
      <c r="AC72" s="26" t="s">
        <v>93</v>
      </c>
      <c r="AD72" s="26" t="s">
        <v>97</v>
      </c>
      <c r="AE72" s="26" t="s">
        <v>73</v>
      </c>
      <c r="AF72" s="61"/>
      <c r="AL72" s="25">
        <f>0.00002*SIN(RADIANS(2*AI38-2*AI39))</f>
        <v>1.8762179682417553E-5</v>
      </c>
      <c r="AM72" s="26" t="s">
        <v>93</v>
      </c>
      <c r="AN72" s="26" t="s">
        <v>97</v>
      </c>
      <c r="AO72" s="26" t="s">
        <v>73</v>
      </c>
      <c r="AQ72" s="61"/>
      <c r="AW72" s="25">
        <f>-0.00002*SIN(RADIANS(AT38-AT37-2*AT39))</f>
        <v>-6.6438360087410115E-6</v>
      </c>
      <c r="AX72" s="26" t="s">
        <v>94</v>
      </c>
      <c r="AY72" s="26" t="s">
        <v>97</v>
      </c>
      <c r="AZ72" s="26" t="s">
        <v>54</v>
      </c>
      <c r="BB72" s="66"/>
    </row>
    <row r="73" spans="7:54" x14ac:dyDescent="0.25">
      <c r="H73" s="25">
        <f>-0.00002*SIN(RADIANS(3*D38+D37))</f>
        <v>1.8705373098729115E-5</v>
      </c>
      <c r="I73" s="26" t="s">
        <v>94</v>
      </c>
      <c r="J73" s="26" t="s">
        <v>97</v>
      </c>
      <c r="K73" s="26" t="s">
        <v>55</v>
      </c>
      <c r="L73" s="61"/>
      <c r="O73" s="2"/>
      <c r="P73" s="2"/>
      <c r="R73" s="25">
        <f>-0.00002*SIN(RADIANS(3*O38+O37))</f>
        <v>-1.6858505432982814E-5</v>
      </c>
      <c r="S73" s="26" t="s">
        <v>94</v>
      </c>
      <c r="T73" s="26" t="s">
        <v>97</v>
      </c>
      <c r="U73" s="26" t="s">
        <v>55</v>
      </c>
      <c r="V73" s="61"/>
      <c r="AB73" s="82">
        <f>0.00002*SIN(RADIANS(Y38-Y37+2*Y39))</f>
        <v>1.8872802318026745E-5</v>
      </c>
      <c r="AC73" s="26" t="s">
        <v>93</v>
      </c>
      <c r="AD73" s="26" t="s">
        <v>97</v>
      </c>
      <c r="AE73" s="26" t="s">
        <v>74</v>
      </c>
      <c r="AF73" s="61"/>
      <c r="AL73" s="25">
        <f>0.00002*SIN(RADIANS(AI38-AI37+2*AI39))</f>
        <v>-1.9714161649320267E-5</v>
      </c>
      <c r="AM73" s="26" t="s">
        <v>93</v>
      </c>
      <c r="AN73" s="26" t="s">
        <v>97</v>
      </c>
      <c r="AO73" s="26" t="s">
        <v>74</v>
      </c>
      <c r="AQ73" s="61"/>
      <c r="AW73" s="25">
        <f>-0.00002*SIN(RADIANS(3*AT38+AT37))</f>
        <v>1.4550985471000411E-6</v>
      </c>
      <c r="AX73" s="26" t="s">
        <v>94</v>
      </c>
      <c r="AY73" s="26" t="s">
        <v>97</v>
      </c>
      <c r="AZ73" s="26" t="s">
        <v>55</v>
      </c>
      <c r="BB73" s="66"/>
    </row>
    <row r="74" spans="7:54" x14ac:dyDescent="0.25">
      <c r="H74" s="25">
        <f>0.00002*SIN(RADIANS(4*D38))</f>
        <v>1.9315338810812855E-5</v>
      </c>
      <c r="I74" s="34" t="s">
        <v>93</v>
      </c>
      <c r="J74" s="26" t="s">
        <v>97</v>
      </c>
      <c r="K74" s="26" t="s">
        <v>56</v>
      </c>
      <c r="L74" s="61"/>
      <c r="O74" s="2"/>
      <c r="P74" s="2"/>
      <c r="R74" s="25">
        <f>0.00002*SIN(RADIANS(4*O38))</f>
        <v>1.6056610926967862E-5</v>
      </c>
      <c r="S74" s="26" t="s">
        <v>93</v>
      </c>
      <c r="T74" s="26" t="s">
        <v>97</v>
      </c>
      <c r="U74" s="26" t="s">
        <v>56</v>
      </c>
      <c r="V74" s="61"/>
      <c r="AB74" s="82">
        <f>-0.00002*SIN(RADIANS(3*Y38+Y37))</f>
        <v>2.0595431506967498E-6</v>
      </c>
      <c r="AC74" s="26" t="s">
        <v>94</v>
      </c>
      <c r="AD74" s="26" t="s">
        <v>97</v>
      </c>
      <c r="AE74" s="26" t="s">
        <v>75</v>
      </c>
      <c r="AF74" s="61"/>
      <c r="AL74" s="25">
        <f>-0.00002*SIN(RADIANS(3*AI38+AI37))</f>
        <v>-1.7177181526761144E-5</v>
      </c>
      <c r="AM74" s="26" t="s">
        <v>94</v>
      </c>
      <c r="AN74" s="26" t="s">
        <v>97</v>
      </c>
      <c r="AO74" s="26" t="s">
        <v>75</v>
      </c>
      <c r="AQ74" s="61"/>
      <c r="AW74" s="25">
        <f>0.00002*SIN(RADIANS(4*AT38))</f>
        <v>6.1683391892195362E-7</v>
      </c>
      <c r="AX74" s="34" t="s">
        <v>93</v>
      </c>
      <c r="AY74" s="26" t="s">
        <v>97</v>
      </c>
      <c r="AZ74" s="26" t="s">
        <v>56</v>
      </c>
      <c r="BB74" s="66"/>
    </row>
    <row r="75" spans="7:54" ht="15.75" x14ac:dyDescent="0.25">
      <c r="G75" s="28" t="s">
        <v>113</v>
      </c>
      <c r="H75" s="85">
        <f>SUM(H50:H74)</f>
        <v>0.17736611448167663</v>
      </c>
      <c r="I75" s="14"/>
      <c r="J75" s="14"/>
      <c r="K75" s="14"/>
      <c r="L75" s="61"/>
      <c r="O75" s="2"/>
      <c r="P75" s="2"/>
      <c r="Q75" s="28" t="s">
        <v>113</v>
      </c>
      <c r="R75" s="85">
        <f>SUM(R50:R74)</f>
        <v>-0.12303667760424156</v>
      </c>
      <c r="V75" s="61"/>
      <c r="W75" s="14"/>
      <c r="X75" s="14"/>
      <c r="Y75" s="14"/>
      <c r="AA75" s="28" t="s">
        <v>113</v>
      </c>
      <c r="AB75" s="83">
        <f>SUM(AB50:AB74)</f>
        <v>0.6363456671056128</v>
      </c>
      <c r="AF75" s="61"/>
      <c r="AK75" s="28" t="s">
        <v>113</v>
      </c>
      <c r="AL75" s="85">
        <f>SUM(AL50:AL74)</f>
        <v>-0.41037089366568869</v>
      </c>
      <c r="AQ75" s="61"/>
      <c r="AV75" s="28" t="s">
        <v>113</v>
      </c>
      <c r="AW75" s="85">
        <f>SUM(AW50:AW74)</f>
        <v>0.43020878714117883</v>
      </c>
      <c r="AX75" s="14"/>
      <c r="AY75" s="14"/>
      <c r="AZ75" s="14"/>
      <c r="BB75" s="66"/>
    </row>
    <row r="76" spans="7:54" x14ac:dyDescent="0.25">
      <c r="L76" s="61"/>
      <c r="O76" s="2"/>
      <c r="P76" s="2"/>
      <c r="V76" s="63"/>
      <c r="W76" s="3"/>
      <c r="X76" s="3"/>
      <c r="Y76" s="3"/>
      <c r="AF76" s="61"/>
      <c r="AQ76" s="61"/>
      <c r="BB76" s="66"/>
    </row>
    <row r="77" spans="7:54" ht="15.75" x14ac:dyDescent="0.25">
      <c r="H77" s="37" t="s">
        <v>0</v>
      </c>
      <c r="I77" s="98">
        <f>$C$23+D44+$D4/24</f>
        <v>43117.096150462981</v>
      </c>
      <c r="L77" s="61"/>
      <c r="R77" s="37" t="s">
        <v>2</v>
      </c>
      <c r="S77" s="98">
        <f>$C$23+O44+$D4/24</f>
        <v>43131.560966994613</v>
      </c>
      <c r="V77" s="61"/>
      <c r="AB77" s="37" t="s">
        <v>1</v>
      </c>
      <c r="AC77" s="98">
        <f>$C$23+Y44+$D4/24</f>
        <v>43124.940587874502</v>
      </c>
      <c r="AF77" s="61"/>
      <c r="AL77" s="37" t="s">
        <v>3</v>
      </c>
      <c r="AM77" s="98">
        <f>$C$23+AI44+$D4/24</f>
        <v>43138.653650362045</v>
      </c>
      <c r="AQ77" s="61"/>
      <c r="AW77" s="37" t="s">
        <v>0</v>
      </c>
      <c r="AX77" s="98">
        <f>$C$23+AT44+$D4/24</f>
        <v>43146.879427784588</v>
      </c>
      <c r="BB77" s="66"/>
    </row>
    <row r="78" spans="7:54" ht="15.75" x14ac:dyDescent="0.25">
      <c r="H78" s="16"/>
      <c r="L78" s="61"/>
      <c r="R78" s="17"/>
      <c r="V78" s="61"/>
      <c r="AF78" s="61"/>
      <c r="AQ78" s="61"/>
      <c r="AW78" s="16"/>
      <c r="BB78" s="66"/>
    </row>
    <row r="79" spans="7:54" x14ac:dyDescent="0.25">
      <c r="L79" s="61"/>
      <c r="V79" s="61"/>
      <c r="AB79" s="87" t="s">
        <v>57</v>
      </c>
      <c r="AC79">
        <f>0.00306 - 0.00038*Y36* COS(RADIANS(Y37)) + 0.00026*COS(RADIANS(Y38))-0.00002*COS(RADIANS(Y38-Y37))+0.00002*COS(RADIANS(Y38+Y37))+0.00002*COS(RADIANS(2*Y36))</f>
        <v>2.8470633087256344E-3</v>
      </c>
      <c r="AF79" s="61"/>
      <c r="AL79" s="87" t="s">
        <v>57</v>
      </c>
      <c r="AM79">
        <f>(0.00306 - 0.00038*AI36* COS(RADIANS(AI37)) + 0.00026*COS(RADIANS(AI38))-0.00002*COS(RADIANS(AI38-AI37))+0.00002*COS(RADIANS(AI38+AI37))+0.00002*COS(RADIANS(2*AI36)))</f>
        <v>2.5899430306208582E-3</v>
      </c>
      <c r="AQ79" s="61"/>
      <c r="BB79" s="66"/>
    </row>
    <row r="80" spans="7:54" x14ac:dyDescent="0.25">
      <c r="H80" s="2" t="s">
        <v>58</v>
      </c>
      <c r="I80" s="6">
        <f>D35+(H75)+(G64)</f>
        <v>2458135.596150463</v>
      </c>
      <c r="L80" s="61"/>
      <c r="V80" s="61"/>
      <c r="AF80" s="61"/>
      <c r="AQ80" s="61"/>
      <c r="AW80" s="2" t="s">
        <v>58</v>
      </c>
      <c r="AX80" s="6">
        <f>AT35+(AW75)+(AV64)</f>
        <v>2458165.3794277846</v>
      </c>
      <c r="BB80" s="66"/>
    </row>
    <row r="81" spans="1:55" x14ac:dyDescent="0.25">
      <c r="L81" s="61"/>
      <c r="R81" s="2" t="s">
        <v>58</v>
      </c>
      <c r="S81" s="6">
        <f>O35+(R75)+(Q64)</f>
        <v>2458150.0609669946</v>
      </c>
      <c r="V81" s="61"/>
      <c r="AB81" s="2" t="s">
        <v>58</v>
      </c>
      <c r="AC81" s="6">
        <f>Y35+AB75+AA64+AC79</f>
        <v>2458143.4405878745</v>
      </c>
      <c r="AF81" s="61"/>
      <c r="AL81" s="2" t="s">
        <v>58</v>
      </c>
      <c r="AM81" s="6">
        <f>AI35+AL75+AK64-AM79</f>
        <v>2458157.153650362</v>
      </c>
      <c r="AQ81" s="61"/>
      <c r="BB81" s="66"/>
    </row>
    <row r="82" spans="1:55" x14ac:dyDescent="0.25">
      <c r="L82" s="61"/>
      <c r="V82" s="61"/>
      <c r="AB82" s="3"/>
      <c r="AC82" s="3"/>
      <c r="AF82" s="61"/>
      <c r="AQ82" s="61"/>
      <c r="BB82" s="66"/>
    </row>
    <row r="83" spans="1:55" ht="15.75" x14ac:dyDescent="0.25">
      <c r="C83" s="16"/>
      <c r="D83" s="16"/>
      <c r="E83" s="6"/>
      <c r="F83" s="6"/>
      <c r="G83" s="6"/>
      <c r="H83" s="18" t="s">
        <v>98</v>
      </c>
      <c r="I83" s="79">
        <f>I80+0.5</f>
        <v>2458136.096150463</v>
      </c>
      <c r="L83" s="61"/>
      <c r="N83" s="17"/>
      <c r="R83" s="18" t="s">
        <v>98</v>
      </c>
      <c r="S83" s="79">
        <f>S81+0.5</f>
        <v>2458150.5609669946</v>
      </c>
      <c r="V83" s="61"/>
      <c r="AB83" s="18" t="s">
        <v>98</v>
      </c>
      <c r="AC83" s="79">
        <f>AC81+0.5</f>
        <v>2458143.9405878745</v>
      </c>
      <c r="AF83" s="61"/>
      <c r="AL83" s="18" t="s">
        <v>98</v>
      </c>
      <c r="AM83" s="79">
        <f>AM81+0.5</f>
        <v>2458157.653650362</v>
      </c>
      <c r="AQ83" s="61"/>
      <c r="AS83" s="16"/>
      <c r="AT83" s="6"/>
      <c r="AU83" s="6"/>
      <c r="AV83" s="6"/>
      <c r="AW83" s="18" t="s">
        <v>98</v>
      </c>
      <c r="AX83" s="79">
        <f>AX80+0.5</f>
        <v>2458165.8794277846</v>
      </c>
      <c r="BB83" s="66"/>
    </row>
    <row r="84" spans="1:55" ht="15.75" x14ac:dyDescent="0.25">
      <c r="E84" s="6"/>
      <c r="F84" s="6"/>
      <c r="G84" s="6"/>
      <c r="L84" s="61"/>
      <c r="S84" s="17"/>
      <c r="T84" s="17"/>
      <c r="V84" s="61"/>
      <c r="Z84" s="17"/>
      <c r="AF84" s="61"/>
      <c r="AQ84" s="61"/>
      <c r="AT84" s="6"/>
      <c r="AU84" s="6"/>
      <c r="AV84" s="6"/>
      <c r="BB84" s="66"/>
    </row>
    <row r="85" spans="1:55" ht="15.75" x14ac:dyDescent="0.25">
      <c r="A85" s="66"/>
      <c r="B85" s="66"/>
      <c r="C85" s="66"/>
      <c r="D85" s="66"/>
      <c r="E85" s="74"/>
      <c r="F85" s="74"/>
      <c r="G85" s="74"/>
      <c r="H85" s="66"/>
      <c r="I85" s="66"/>
      <c r="J85" s="66"/>
      <c r="K85" s="66"/>
      <c r="L85" s="66"/>
      <c r="M85" s="66"/>
      <c r="N85" s="66"/>
      <c r="O85" s="66"/>
      <c r="P85" s="66"/>
      <c r="Q85" s="66"/>
      <c r="R85" s="66"/>
      <c r="S85" s="68"/>
      <c r="T85" s="68"/>
      <c r="U85" s="66"/>
      <c r="V85" s="66"/>
      <c r="W85" s="66"/>
      <c r="X85" s="66"/>
      <c r="Y85" s="66"/>
      <c r="Z85" s="68"/>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32"/>
    </row>
    <row r="86" spans="1:55" x14ac:dyDescent="0.25">
      <c r="T86" s="2"/>
      <c r="AQ86" s="32"/>
      <c r="BB86" s="32"/>
    </row>
    <row r="87" spans="1:55" x14ac:dyDescent="0.25">
      <c r="T87" s="6"/>
      <c r="AQ87" s="32"/>
      <c r="BB87" s="32"/>
    </row>
    <row r="88" spans="1:55" x14ac:dyDescent="0.25">
      <c r="Z88" s="2"/>
      <c r="AQ88" s="32"/>
      <c r="BB88" s="32"/>
    </row>
    <row r="89" spans="1:55" x14ac:dyDescent="0.25">
      <c r="E89" s="2"/>
      <c r="F89" s="2"/>
      <c r="G89" s="2"/>
      <c r="O89" s="2"/>
      <c r="P89" s="2"/>
      <c r="Q89" s="2"/>
      <c r="T89" s="18"/>
      <c r="W89" s="2"/>
      <c r="X89" s="2"/>
      <c r="Y89" s="2"/>
      <c r="AA89" s="2"/>
      <c r="AB89" s="2"/>
      <c r="AQ89" s="32"/>
      <c r="BB89" s="32"/>
    </row>
    <row r="90" spans="1:55" ht="21" customHeight="1" x14ac:dyDescent="0.25">
      <c r="E90" s="6"/>
      <c r="F90" s="6"/>
      <c r="G90" s="6"/>
      <c r="T90" s="17"/>
      <c r="AQ90" s="32"/>
      <c r="BB90" s="32"/>
    </row>
    <row r="91" spans="1:55" ht="15.75" x14ac:dyDescent="0.25">
      <c r="A91" s="32"/>
      <c r="B91" s="32"/>
      <c r="C91" s="109"/>
      <c r="D91" s="109"/>
      <c r="E91" s="110"/>
      <c r="F91" s="110"/>
      <c r="G91" s="110"/>
      <c r="H91" s="32"/>
      <c r="I91" s="32"/>
      <c r="J91" s="32"/>
      <c r="K91" s="32"/>
      <c r="L91" s="111"/>
      <c r="M91" s="32"/>
      <c r="N91" s="32"/>
      <c r="O91" s="104"/>
      <c r="P91" s="104"/>
      <c r="Q91" s="32"/>
      <c r="R91" s="32"/>
      <c r="S91" s="111"/>
      <c r="T91" s="111"/>
      <c r="U91" s="32"/>
      <c r="V91" s="32"/>
      <c r="W91" s="32"/>
      <c r="X91" s="32"/>
      <c r="Y91" s="32"/>
      <c r="Z91" s="111"/>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row>
    <row r="92" spans="1:55" ht="15.75" x14ac:dyDescent="0.25">
      <c r="C92" s="16"/>
      <c r="D92" s="16"/>
      <c r="E92" s="6"/>
      <c r="F92" s="6"/>
      <c r="G92" s="6"/>
      <c r="L92" s="17"/>
      <c r="O92" s="2"/>
      <c r="P92" s="2"/>
      <c r="S92" s="17"/>
      <c r="T92" s="17"/>
      <c r="Z92" s="17"/>
      <c r="AQ92" s="32"/>
    </row>
    <row r="93" spans="1:55" ht="15.75" x14ac:dyDescent="0.25">
      <c r="C93" s="16"/>
      <c r="D93" s="16"/>
      <c r="E93" s="6"/>
      <c r="F93" s="6"/>
      <c r="G93" s="6"/>
      <c r="L93" s="17"/>
      <c r="O93" s="2"/>
      <c r="P93" s="2"/>
      <c r="S93" s="17"/>
      <c r="T93" s="17"/>
      <c r="Z93" s="17"/>
    </row>
    <row r="94" spans="1:55" ht="15.75" x14ac:dyDescent="0.25">
      <c r="C94" s="16"/>
      <c r="D94" s="16"/>
      <c r="E94" s="6"/>
      <c r="F94" s="6"/>
      <c r="G94" s="6"/>
      <c r="L94" s="17"/>
      <c r="O94" s="2"/>
      <c r="P94" s="2"/>
      <c r="S94" s="17"/>
      <c r="T94" s="17"/>
      <c r="Z94" s="17"/>
    </row>
    <row r="95" spans="1:55" ht="15.75" x14ac:dyDescent="0.25">
      <c r="C95" s="16"/>
      <c r="D95" s="16"/>
      <c r="E95" s="6"/>
      <c r="F95" s="6"/>
      <c r="G95" s="6"/>
      <c r="L95" s="17"/>
      <c r="O95" s="2"/>
      <c r="P95" s="2"/>
      <c r="S95" s="17"/>
      <c r="T95" s="17"/>
      <c r="Z95" s="17"/>
    </row>
    <row r="96" spans="1:55" ht="15.75" x14ac:dyDescent="0.25">
      <c r="C96" s="16"/>
      <c r="D96" s="16"/>
      <c r="E96" s="6"/>
      <c r="F96" s="6"/>
      <c r="G96" s="6"/>
      <c r="L96" s="17"/>
      <c r="O96" s="2"/>
      <c r="P96" s="2"/>
      <c r="S96" s="17"/>
      <c r="T96" s="17"/>
      <c r="Y96" s="1"/>
      <c r="Z96" s="51"/>
      <c r="AA96" s="1"/>
      <c r="AB96" s="1"/>
      <c r="AC96" s="1"/>
      <c r="AD96" s="1"/>
      <c r="AE96" s="1"/>
      <c r="AF96" s="1"/>
      <c r="AG96" s="1"/>
      <c r="AH96" s="1"/>
      <c r="AI96" s="1"/>
      <c r="AJ96" s="1"/>
      <c r="AK96" s="1"/>
      <c r="AL96" s="1"/>
      <c r="AM96" s="1"/>
      <c r="AN96" s="1"/>
      <c r="AO96" s="1"/>
      <c r="AP96" s="1"/>
      <c r="AQ96" s="1"/>
      <c r="AR96" s="1"/>
      <c r="AS96" s="1"/>
    </row>
    <row r="97" spans="3:45" ht="15.75" x14ac:dyDescent="0.25">
      <c r="C97" s="16"/>
      <c r="D97" s="16"/>
      <c r="E97" s="6"/>
      <c r="F97" s="6"/>
      <c r="G97" s="6"/>
      <c r="L97" s="17"/>
      <c r="O97" s="2"/>
      <c r="P97" s="2"/>
      <c r="S97" s="17"/>
      <c r="T97" s="17"/>
      <c r="Y97" s="1"/>
      <c r="Z97" s="51"/>
      <c r="AA97" s="1"/>
      <c r="AB97" s="1"/>
      <c r="AC97" s="1"/>
      <c r="AD97" s="1"/>
      <c r="AE97" s="1"/>
      <c r="AF97" s="1"/>
      <c r="AG97" s="1"/>
      <c r="AH97" s="1"/>
      <c r="AI97" s="1"/>
      <c r="AJ97" s="1"/>
      <c r="AK97" s="1"/>
      <c r="AL97" s="1"/>
      <c r="AM97" s="1"/>
      <c r="AN97" s="1"/>
      <c r="AO97" s="1"/>
      <c r="AP97" s="1"/>
      <c r="AQ97" s="1"/>
      <c r="AR97" s="1"/>
      <c r="AS97" s="1"/>
    </row>
    <row r="98" spans="3:45" x14ac:dyDescent="0.25">
      <c r="O98" s="2"/>
      <c r="P98" s="2"/>
      <c r="Y98" s="1"/>
      <c r="Z98" s="1"/>
      <c r="AA98" s="1"/>
      <c r="AB98" s="1"/>
      <c r="AC98" s="1"/>
      <c r="AD98" s="1"/>
      <c r="AE98" s="1"/>
      <c r="AF98" s="1"/>
      <c r="AG98" s="1"/>
      <c r="AH98" s="1"/>
      <c r="AI98" s="1"/>
      <c r="AJ98" s="1"/>
      <c r="AK98" s="1"/>
      <c r="AL98" s="1"/>
      <c r="AM98" s="1"/>
      <c r="AN98" s="1"/>
      <c r="AO98" s="1"/>
      <c r="AP98" s="1"/>
      <c r="AQ98" s="1"/>
      <c r="AR98" s="1"/>
      <c r="AS98" s="1"/>
    </row>
    <row r="99" spans="3:45" ht="15.75" x14ac:dyDescent="0.25">
      <c r="C99" s="4"/>
      <c r="D99" s="4"/>
      <c r="O99" s="2"/>
      <c r="P99" s="2"/>
      <c r="Y99" s="1"/>
      <c r="Z99" s="1"/>
      <c r="AA99" s="1"/>
      <c r="AB99" s="1"/>
      <c r="AC99" s="1"/>
      <c r="AD99" s="1"/>
      <c r="AE99" s="1"/>
      <c r="AF99" s="1"/>
      <c r="AG99" s="1"/>
      <c r="AH99" s="1"/>
      <c r="AI99" s="1"/>
      <c r="AJ99" s="1"/>
      <c r="AK99" s="1"/>
      <c r="AL99" s="1"/>
      <c r="AM99" s="1"/>
      <c r="AN99" s="1"/>
      <c r="AO99" s="1"/>
      <c r="AP99" s="1"/>
      <c r="AQ99" s="1"/>
      <c r="AR99" s="1"/>
      <c r="AS99" s="1"/>
    </row>
    <row r="100" spans="3:45" ht="15.75" x14ac:dyDescent="0.25">
      <c r="C100" s="4"/>
      <c r="D100" s="4"/>
      <c r="O100" s="2"/>
      <c r="P100" s="2"/>
      <c r="Y100" s="1"/>
      <c r="Z100" s="1"/>
      <c r="AA100" s="1"/>
      <c r="AB100" s="1"/>
      <c r="AC100" s="1"/>
      <c r="AD100" s="1"/>
      <c r="AE100" s="1"/>
      <c r="AF100" s="1"/>
      <c r="AG100" s="1"/>
      <c r="AH100" s="1"/>
      <c r="AI100" s="1"/>
      <c r="AJ100" s="1"/>
      <c r="AK100" s="1"/>
      <c r="AL100" s="1"/>
      <c r="AM100" s="1"/>
      <c r="AN100" s="1"/>
      <c r="AO100" s="1"/>
      <c r="AP100" s="1"/>
      <c r="AQ100" s="1"/>
      <c r="AR100" s="1"/>
      <c r="AS100" s="1"/>
    </row>
    <row r="101" spans="3:45" x14ac:dyDescent="0.25">
      <c r="O101" s="2"/>
      <c r="P101" s="2"/>
      <c r="Q101" s="2"/>
      <c r="Y101" s="1"/>
      <c r="Z101" s="1"/>
      <c r="AA101" s="1"/>
      <c r="AB101" s="1"/>
      <c r="AC101" s="1"/>
      <c r="AD101" s="1"/>
      <c r="AE101" s="1"/>
      <c r="AF101" s="1"/>
      <c r="AG101" s="1"/>
      <c r="AH101" s="1"/>
      <c r="AI101" s="1"/>
      <c r="AJ101" s="1"/>
      <c r="AK101" s="1"/>
      <c r="AL101" s="1"/>
      <c r="AM101" s="1"/>
      <c r="AN101" s="1"/>
      <c r="AO101" s="1"/>
      <c r="AP101" s="1"/>
      <c r="AQ101" s="1"/>
      <c r="AR101" s="1"/>
      <c r="AS101" s="1"/>
    </row>
    <row r="102" spans="3:45" ht="18.75" x14ac:dyDescent="0.3">
      <c r="C102" s="19"/>
      <c r="D102" s="19"/>
      <c r="E102" s="2"/>
      <c r="F102" s="2"/>
      <c r="G102" s="2"/>
      <c r="L102" s="19"/>
      <c r="M102" s="2"/>
      <c r="N102" s="2"/>
      <c r="O102" s="2"/>
      <c r="P102" s="2"/>
      <c r="S102" s="19"/>
      <c r="T102" s="19"/>
      <c r="U102" s="2"/>
      <c r="V102" s="2"/>
      <c r="W102" s="2"/>
      <c r="X102" s="2"/>
      <c r="Y102" s="23"/>
      <c r="Z102" s="52"/>
      <c r="AA102" s="23"/>
      <c r="AB102" s="23"/>
      <c r="AC102" s="1"/>
      <c r="AD102" s="1"/>
      <c r="AE102" s="1"/>
      <c r="AF102" s="1"/>
      <c r="AG102" s="1"/>
      <c r="AH102" s="1"/>
      <c r="AI102" s="1"/>
      <c r="AJ102" s="1"/>
      <c r="AK102" s="1"/>
      <c r="AL102" s="1"/>
      <c r="AM102" s="1"/>
      <c r="AN102" s="1"/>
      <c r="AO102" s="1"/>
      <c r="AP102" s="1"/>
      <c r="AQ102" s="1"/>
      <c r="AR102" s="1"/>
      <c r="AS102" s="1"/>
    </row>
    <row r="103" spans="3:45" ht="18.75" x14ac:dyDescent="0.3">
      <c r="C103" s="19"/>
      <c r="D103" s="19"/>
      <c r="L103" s="19"/>
      <c r="O103" s="2"/>
      <c r="P103" s="2"/>
      <c r="S103" s="19"/>
      <c r="T103" s="19"/>
      <c r="Y103" s="1"/>
      <c r="Z103" s="52"/>
      <c r="AA103" s="1"/>
      <c r="AB103" s="1"/>
      <c r="AC103" s="1"/>
      <c r="AD103" s="1"/>
      <c r="AE103" s="1"/>
      <c r="AF103" s="1"/>
      <c r="AG103" s="1"/>
      <c r="AH103" s="1"/>
      <c r="AI103" s="1"/>
      <c r="AJ103" s="1"/>
      <c r="AK103" s="1"/>
      <c r="AL103" s="1"/>
      <c r="AM103" s="1"/>
      <c r="AN103" s="1"/>
      <c r="AO103" s="1"/>
      <c r="AP103" s="1"/>
      <c r="AQ103" s="1"/>
      <c r="AR103" s="1"/>
      <c r="AS103" s="1"/>
    </row>
    <row r="104" spans="3:45" x14ac:dyDescent="0.25">
      <c r="C104" s="2"/>
      <c r="D104" s="2"/>
      <c r="E104" s="2"/>
      <c r="F104" s="2"/>
      <c r="G104" s="2"/>
      <c r="L104" s="2"/>
      <c r="M104" s="2"/>
      <c r="N104" s="2"/>
      <c r="O104" s="2"/>
      <c r="P104" s="2"/>
      <c r="S104" s="2"/>
      <c r="T104" s="2"/>
      <c r="U104" s="2"/>
      <c r="V104" s="2"/>
      <c r="W104" s="2"/>
      <c r="X104" s="2"/>
      <c r="Y104" s="23"/>
      <c r="Z104" s="23"/>
      <c r="AA104" s="23"/>
      <c r="AB104" s="23"/>
      <c r="AC104" s="1"/>
      <c r="AD104" s="1"/>
      <c r="AE104" s="1"/>
      <c r="AF104" s="1"/>
      <c r="AG104" s="1"/>
      <c r="AH104" s="1"/>
      <c r="AI104" s="1"/>
      <c r="AJ104" s="1"/>
      <c r="AK104" s="1"/>
      <c r="AL104" s="1"/>
      <c r="AM104" s="1"/>
      <c r="AN104" s="1"/>
      <c r="AO104" s="1"/>
      <c r="AP104" s="1"/>
      <c r="AQ104" s="1"/>
      <c r="AR104" s="1"/>
      <c r="AS104" s="1"/>
    </row>
    <row r="105" spans="3:45" x14ac:dyDescent="0.25">
      <c r="O105" s="2"/>
      <c r="P105" s="2"/>
      <c r="Y105" s="1"/>
      <c r="Z105" s="1"/>
      <c r="AA105" s="1"/>
      <c r="AB105" s="1"/>
      <c r="AC105" s="1"/>
      <c r="AD105" s="1"/>
      <c r="AE105" s="1"/>
      <c r="AF105" s="1"/>
      <c r="AG105" s="1"/>
      <c r="AH105" s="1"/>
      <c r="AI105" s="1"/>
      <c r="AJ105" s="1"/>
      <c r="AK105" s="1"/>
      <c r="AL105" s="1"/>
      <c r="AM105" s="1"/>
      <c r="AN105" s="1"/>
      <c r="AO105" s="1"/>
      <c r="AP105" s="1"/>
      <c r="AQ105" s="1"/>
      <c r="AR105" s="1"/>
      <c r="AS105" s="1"/>
    </row>
    <row r="106" spans="3:45" x14ac:dyDescent="0.25">
      <c r="O106" s="2"/>
      <c r="P106" s="2"/>
      <c r="Y106" s="1"/>
      <c r="Z106" s="23"/>
      <c r="AA106" s="1"/>
      <c r="AB106" s="1"/>
      <c r="AC106" s="1"/>
      <c r="AD106" s="1"/>
      <c r="AE106" s="1"/>
      <c r="AF106" s="1"/>
      <c r="AG106" s="1"/>
      <c r="AH106" s="1"/>
      <c r="AI106" s="1"/>
      <c r="AJ106" s="1"/>
      <c r="AK106" s="1"/>
      <c r="AL106" s="1"/>
      <c r="AM106" s="1"/>
      <c r="AN106" s="1"/>
      <c r="AO106" s="1"/>
      <c r="AP106" s="1"/>
      <c r="AQ106" s="1"/>
      <c r="AR106" s="1"/>
      <c r="AS106" s="1"/>
    </row>
    <row r="107" spans="3:45" ht="15.75" x14ac:dyDescent="0.25">
      <c r="C107" s="4"/>
      <c r="D107" s="4"/>
      <c r="L107" s="2"/>
      <c r="N107" s="2"/>
      <c r="O107" s="20"/>
      <c r="P107" s="20"/>
      <c r="Q107" s="3"/>
      <c r="S107" s="4"/>
      <c r="T107" s="4"/>
      <c r="U107" s="20"/>
      <c r="Y107" s="1"/>
      <c r="Z107" s="53"/>
      <c r="AA107" s="54"/>
      <c r="AB107" s="1"/>
      <c r="AC107" s="1"/>
      <c r="AD107" s="1"/>
      <c r="AE107" s="1"/>
      <c r="AF107" s="1"/>
      <c r="AG107" s="1"/>
      <c r="AH107" s="1"/>
      <c r="AI107" s="1"/>
      <c r="AJ107" s="1"/>
      <c r="AK107" s="1"/>
      <c r="AL107" s="1"/>
      <c r="AM107" s="1"/>
      <c r="AN107" s="1"/>
      <c r="AO107" s="1"/>
      <c r="AP107" s="1"/>
      <c r="AQ107" s="1"/>
      <c r="AR107" s="1"/>
      <c r="AS107" s="1"/>
    </row>
    <row r="108" spans="3:45" ht="15.75" x14ac:dyDescent="0.25">
      <c r="C108" s="4"/>
      <c r="D108" s="4"/>
      <c r="H108" s="21"/>
      <c r="I108" s="21"/>
      <c r="J108" s="21"/>
      <c r="K108" s="21"/>
      <c r="L108" s="22"/>
      <c r="M108" s="7"/>
      <c r="N108" s="21"/>
      <c r="O108" s="22"/>
      <c r="P108" s="22"/>
      <c r="Q108" s="7"/>
      <c r="S108" s="21"/>
      <c r="T108" s="21"/>
      <c r="U108" s="22"/>
      <c r="V108" s="7"/>
      <c r="W108" s="7"/>
      <c r="X108" s="7"/>
      <c r="Y108" s="55"/>
      <c r="Z108" s="56"/>
      <c r="AA108" s="57"/>
      <c r="AB108" s="55"/>
      <c r="AC108" s="1"/>
      <c r="AD108" s="1"/>
      <c r="AE108" s="1"/>
      <c r="AF108" s="1"/>
      <c r="AG108" s="1"/>
      <c r="AH108" s="1"/>
      <c r="AI108" s="1"/>
      <c r="AJ108" s="1"/>
      <c r="AK108" s="1"/>
      <c r="AL108" s="1"/>
      <c r="AM108" s="1"/>
      <c r="AN108" s="1"/>
      <c r="AO108" s="1"/>
      <c r="AP108" s="1"/>
      <c r="AQ108" s="1"/>
      <c r="AR108" s="1"/>
      <c r="AS108" s="1"/>
    </row>
    <row r="109" spans="3:45" ht="15.75" x14ac:dyDescent="0.25">
      <c r="C109" s="4"/>
      <c r="D109" s="4"/>
      <c r="O109" s="2"/>
      <c r="P109" s="2"/>
      <c r="V109" s="3"/>
      <c r="W109" s="3"/>
      <c r="X109" s="3"/>
      <c r="Y109" s="58"/>
      <c r="Z109" s="1"/>
      <c r="AA109" s="1"/>
      <c r="AB109" s="1"/>
      <c r="AC109" s="1"/>
      <c r="AD109" s="1"/>
      <c r="AE109" s="1"/>
      <c r="AF109" s="1"/>
      <c r="AG109" s="1"/>
      <c r="AH109" s="1"/>
      <c r="AI109" s="1"/>
      <c r="AJ109" s="1"/>
      <c r="AK109" s="1"/>
      <c r="AL109" s="1"/>
      <c r="AM109" s="1"/>
      <c r="AN109" s="1"/>
      <c r="AO109" s="1"/>
      <c r="AP109" s="1"/>
      <c r="AQ109" s="1"/>
      <c r="AR109" s="1"/>
      <c r="AS109" s="1"/>
    </row>
    <row r="110" spans="3:45" ht="15.75" x14ac:dyDescent="0.25">
      <c r="C110" s="4"/>
      <c r="D110" s="4"/>
      <c r="M110" s="15"/>
      <c r="N110" s="15"/>
      <c r="O110" s="2"/>
      <c r="P110" s="2"/>
      <c r="V110" s="3"/>
      <c r="W110" s="3"/>
      <c r="X110" s="3"/>
      <c r="Y110" s="58"/>
      <c r="Z110" s="1"/>
      <c r="AA110" s="1"/>
      <c r="AB110" s="55"/>
      <c r="AC110" s="55"/>
      <c r="AD110" s="55"/>
      <c r="AE110" s="55"/>
      <c r="AF110" s="1"/>
      <c r="AG110" s="1"/>
      <c r="AH110" s="1"/>
      <c r="AI110" s="1"/>
      <c r="AJ110" s="1"/>
      <c r="AK110" s="1"/>
      <c r="AL110" s="1"/>
      <c r="AM110" s="1"/>
      <c r="AN110" s="1"/>
      <c r="AO110" s="1"/>
      <c r="AP110" s="1"/>
      <c r="AQ110" s="1"/>
      <c r="AR110" s="1"/>
      <c r="AS110" s="1"/>
    </row>
    <row r="111" spans="3:45" ht="15.75" x14ac:dyDescent="0.25">
      <c r="C111" s="4"/>
      <c r="D111" s="4"/>
      <c r="G111" s="2"/>
      <c r="O111" s="2"/>
      <c r="P111" s="2"/>
      <c r="V111" s="3"/>
      <c r="W111" s="3"/>
      <c r="X111" s="3"/>
      <c r="Y111" s="58"/>
      <c r="Z111" s="1"/>
      <c r="AA111" s="1"/>
      <c r="AB111" s="55"/>
      <c r="AC111" s="55"/>
      <c r="AD111" s="55"/>
      <c r="AE111" s="55"/>
      <c r="AF111" s="1"/>
      <c r="AG111" s="1"/>
      <c r="AH111" s="1"/>
      <c r="AI111" s="1"/>
      <c r="AJ111" s="1"/>
      <c r="AK111" s="1"/>
      <c r="AL111" s="1"/>
      <c r="AM111" s="1"/>
      <c r="AN111" s="1"/>
      <c r="AO111" s="1"/>
      <c r="AP111" s="1"/>
      <c r="AQ111" s="1"/>
      <c r="AR111" s="1"/>
      <c r="AS111" s="1"/>
    </row>
    <row r="112" spans="3:45" x14ac:dyDescent="0.25">
      <c r="Q112" s="2"/>
      <c r="V112" s="3"/>
      <c r="W112" s="3"/>
      <c r="X112" s="3"/>
      <c r="Y112" s="58"/>
      <c r="Z112" s="1"/>
      <c r="AA112" s="59"/>
      <c r="AB112" s="1"/>
      <c r="AC112" s="1"/>
      <c r="AD112" s="1"/>
      <c r="AE112" s="1"/>
      <c r="AF112" s="1"/>
      <c r="AG112" s="1"/>
      <c r="AH112" s="1"/>
      <c r="AI112" s="1"/>
      <c r="AJ112" s="1"/>
      <c r="AK112" s="1"/>
      <c r="AL112" s="1"/>
      <c r="AM112" s="1"/>
      <c r="AN112" s="1"/>
      <c r="AO112" s="1"/>
      <c r="AP112" s="1"/>
      <c r="AQ112" s="1"/>
      <c r="AR112" s="1"/>
      <c r="AS112" s="1"/>
    </row>
    <row r="113" spans="3:45" ht="15.75" x14ac:dyDescent="0.25">
      <c r="Q113" s="2"/>
      <c r="V113" s="3"/>
      <c r="W113" s="3"/>
      <c r="X113" s="3"/>
      <c r="Y113" s="58"/>
      <c r="Z113" s="1"/>
      <c r="AA113" s="1"/>
      <c r="AB113" s="1"/>
      <c r="AC113" s="1"/>
      <c r="AD113" s="1"/>
      <c r="AE113" s="1"/>
      <c r="AF113" s="1"/>
      <c r="AG113" s="1"/>
      <c r="AH113" s="1"/>
      <c r="AI113" s="1"/>
      <c r="AJ113" s="1"/>
      <c r="AK113" s="54"/>
      <c r="AL113" s="60"/>
      <c r="AM113" s="60"/>
      <c r="AN113" s="1"/>
      <c r="AO113" s="1"/>
      <c r="AP113" s="1"/>
      <c r="AQ113" s="1"/>
      <c r="AR113" s="1"/>
      <c r="AS113" s="1"/>
    </row>
    <row r="114" spans="3:45" ht="15.75" x14ac:dyDescent="0.25">
      <c r="Q114" s="2"/>
      <c r="V114" s="3"/>
      <c r="W114" s="3"/>
      <c r="X114" s="3"/>
      <c r="Y114" s="58"/>
      <c r="Z114" s="1"/>
      <c r="AA114" s="1"/>
      <c r="AB114" s="1"/>
      <c r="AC114" s="1"/>
      <c r="AD114" s="1"/>
      <c r="AE114" s="1"/>
      <c r="AF114" s="1"/>
      <c r="AG114" s="1"/>
      <c r="AH114" s="1"/>
      <c r="AI114" s="1"/>
      <c r="AJ114" s="1"/>
      <c r="AK114" s="54"/>
      <c r="AL114" s="1"/>
      <c r="AM114" s="1"/>
      <c r="AN114" s="23"/>
      <c r="AO114" s="1"/>
      <c r="AP114" s="1"/>
      <c r="AQ114" s="1"/>
      <c r="AR114" s="1"/>
      <c r="AS114" s="1"/>
    </row>
    <row r="115" spans="3:45" x14ac:dyDescent="0.25">
      <c r="Q115" s="2"/>
      <c r="V115" s="3"/>
      <c r="W115" s="3"/>
      <c r="X115" s="3"/>
      <c r="Y115" s="58"/>
      <c r="Z115" s="1"/>
      <c r="AA115" s="1"/>
      <c r="AB115" s="1"/>
      <c r="AC115" s="1"/>
      <c r="AD115" s="1"/>
      <c r="AE115" s="1"/>
      <c r="AF115" s="1"/>
      <c r="AG115" s="1"/>
      <c r="AH115" s="1"/>
      <c r="AI115" s="1"/>
      <c r="AJ115" s="1"/>
      <c r="AK115" s="1"/>
      <c r="AL115" s="1"/>
      <c r="AM115" s="1"/>
      <c r="AN115" s="23"/>
      <c r="AO115" s="1"/>
      <c r="AP115" s="1"/>
      <c r="AQ115" s="1"/>
      <c r="AR115" s="1"/>
      <c r="AS115" s="1"/>
    </row>
    <row r="116" spans="3:45" ht="15.75" x14ac:dyDescent="0.25">
      <c r="Q116" s="2"/>
      <c r="V116" s="3"/>
      <c r="W116" s="3"/>
      <c r="X116" s="3"/>
      <c r="Y116" s="58"/>
      <c r="Z116" s="1"/>
      <c r="AA116" s="1"/>
      <c r="AB116" s="1"/>
      <c r="AC116" s="1"/>
      <c r="AD116" s="1"/>
      <c r="AE116" s="60"/>
      <c r="AF116" s="60"/>
      <c r="AG116" s="60"/>
      <c r="AH116" s="60"/>
      <c r="AI116" s="60"/>
      <c r="AJ116" s="60"/>
      <c r="AK116" s="60"/>
      <c r="AL116" s="60"/>
      <c r="AM116" s="60"/>
      <c r="AN116" s="60"/>
      <c r="AO116" s="60"/>
      <c r="AP116" s="60"/>
      <c r="AQ116" s="60"/>
      <c r="AR116" s="1"/>
      <c r="AS116" s="1"/>
    </row>
    <row r="117" spans="3:45" x14ac:dyDescent="0.25">
      <c r="Q117" s="2"/>
      <c r="V117" s="3"/>
      <c r="W117" s="3"/>
      <c r="X117" s="3"/>
      <c r="Y117" s="58"/>
      <c r="Z117" s="1"/>
      <c r="AA117" s="1"/>
      <c r="AB117" s="1"/>
      <c r="AC117" s="1"/>
      <c r="AD117" s="1"/>
      <c r="AE117" s="23"/>
      <c r="AF117" s="23"/>
      <c r="AG117" s="23"/>
      <c r="AH117" s="23"/>
      <c r="AI117" s="23"/>
      <c r="AJ117" s="23"/>
      <c r="AK117" s="23"/>
      <c r="AL117" s="23"/>
      <c r="AM117" s="23"/>
      <c r="AN117" s="23"/>
      <c r="AO117" s="23"/>
      <c r="AP117" s="23"/>
      <c r="AQ117" s="23"/>
      <c r="AR117" s="1"/>
      <c r="AS117" s="1"/>
    </row>
    <row r="118" spans="3:45" ht="15.75" x14ac:dyDescent="0.25">
      <c r="Q118" s="2"/>
      <c r="V118" s="3"/>
      <c r="W118" s="3"/>
      <c r="X118" s="3"/>
      <c r="Y118" s="58"/>
      <c r="Z118" s="1"/>
      <c r="AA118" s="1"/>
      <c r="AB118" s="1"/>
      <c r="AC118" s="1"/>
      <c r="AD118" s="1"/>
      <c r="AE118" s="23"/>
      <c r="AF118" s="23"/>
      <c r="AG118" s="23"/>
      <c r="AH118" s="23"/>
      <c r="AI118" s="60"/>
      <c r="AJ118" s="60"/>
      <c r="AK118" s="60"/>
      <c r="AL118" s="60"/>
      <c r="AM118" s="23"/>
      <c r="AN118" s="60"/>
      <c r="AO118" s="60"/>
      <c r="AP118" s="60"/>
      <c r="AQ118" s="23"/>
      <c r="AR118" s="1"/>
      <c r="AS118" s="1"/>
    </row>
    <row r="119" spans="3:45" x14ac:dyDescent="0.25">
      <c r="Q119" s="2"/>
      <c r="V119" s="3"/>
      <c r="W119" s="3"/>
      <c r="X119" s="3"/>
      <c r="Y119" s="58"/>
      <c r="Z119" s="1"/>
      <c r="AA119" s="1"/>
      <c r="AB119" s="1"/>
      <c r="AC119" s="1"/>
      <c r="AD119" s="1"/>
      <c r="AE119" s="23"/>
      <c r="AF119" s="23"/>
      <c r="AG119" s="23"/>
      <c r="AH119" s="23"/>
      <c r="AI119" s="23"/>
      <c r="AJ119" s="23"/>
      <c r="AK119" s="23"/>
      <c r="AL119" s="23"/>
      <c r="AM119" s="23"/>
      <c r="AN119" s="23"/>
      <c r="AO119" s="23"/>
      <c r="AP119" s="23"/>
      <c r="AQ119" s="23"/>
      <c r="AR119" s="1"/>
      <c r="AS119" s="1"/>
    </row>
    <row r="120" spans="3:45" x14ac:dyDescent="0.25">
      <c r="C120" s="2"/>
      <c r="D120" s="2"/>
      <c r="E120" s="2"/>
      <c r="F120" s="2"/>
      <c r="G120" s="2"/>
      <c r="H120" s="2"/>
      <c r="I120" s="2"/>
      <c r="J120" s="2"/>
      <c r="K120" s="2"/>
      <c r="L120" s="2"/>
      <c r="M120" s="2"/>
      <c r="N120" s="2"/>
      <c r="O120" s="2"/>
      <c r="P120" s="2"/>
      <c r="Q120" s="2"/>
      <c r="V120" s="3"/>
      <c r="W120" s="3"/>
      <c r="X120" s="3"/>
      <c r="Y120" s="58"/>
      <c r="Z120" s="1"/>
      <c r="AA120" s="1"/>
      <c r="AB120" s="1"/>
      <c r="AC120" s="1"/>
      <c r="AD120" s="1"/>
      <c r="AE120" s="1"/>
      <c r="AF120" s="1"/>
      <c r="AG120" s="1"/>
      <c r="AH120" s="1"/>
      <c r="AI120" s="1"/>
      <c r="AJ120" s="1"/>
      <c r="AK120" s="1"/>
      <c r="AL120" s="1"/>
      <c r="AM120" s="1"/>
      <c r="AN120" s="1"/>
      <c r="AO120" s="1"/>
      <c r="AP120" s="1"/>
      <c r="AQ120" s="1"/>
      <c r="AR120" s="1"/>
      <c r="AS120" s="1"/>
    </row>
    <row r="121" spans="3:45" x14ac:dyDescent="0.25">
      <c r="Q121" s="2"/>
      <c r="V121" s="3"/>
      <c r="W121" s="3"/>
      <c r="X121" s="3"/>
      <c r="Y121" s="58"/>
      <c r="Z121" s="1"/>
      <c r="AA121" s="1"/>
      <c r="AB121" s="1"/>
      <c r="AC121" s="1"/>
      <c r="AD121" s="1"/>
      <c r="AE121" s="1"/>
      <c r="AF121" s="1"/>
      <c r="AG121" s="1"/>
      <c r="AH121" s="1"/>
      <c r="AI121" s="1"/>
      <c r="AJ121" s="1"/>
      <c r="AK121" s="1"/>
      <c r="AL121" s="1"/>
      <c r="AM121" s="1"/>
      <c r="AN121" s="1"/>
      <c r="AO121" s="1"/>
      <c r="AP121" s="1"/>
      <c r="AQ121" s="1"/>
      <c r="AR121" s="1"/>
      <c r="AS121" s="1"/>
    </row>
    <row r="122" spans="3:45" x14ac:dyDescent="0.25">
      <c r="Q122" s="2"/>
      <c r="V122" s="3"/>
      <c r="W122" s="3"/>
      <c r="X122" s="3"/>
      <c r="Y122" s="58"/>
      <c r="Z122" s="1"/>
      <c r="AA122" s="1"/>
      <c r="AB122" s="1"/>
      <c r="AC122" s="1"/>
      <c r="AD122" s="1"/>
      <c r="AE122" s="1"/>
      <c r="AF122" s="1"/>
      <c r="AG122" s="1"/>
      <c r="AH122" s="1"/>
      <c r="AI122" s="1"/>
      <c r="AJ122" s="1"/>
      <c r="AK122" s="1"/>
      <c r="AL122" s="1"/>
      <c r="AM122" s="1"/>
      <c r="AN122" s="1"/>
      <c r="AO122" s="1"/>
      <c r="AP122" s="1"/>
      <c r="AQ122" s="1"/>
      <c r="AR122" s="1"/>
      <c r="AS122" s="1"/>
    </row>
    <row r="123" spans="3:45" x14ac:dyDescent="0.25">
      <c r="Q123" s="2"/>
      <c r="V123" s="3"/>
      <c r="W123" s="3"/>
      <c r="X123" s="3"/>
      <c r="Y123" s="58"/>
      <c r="Z123" s="1"/>
      <c r="AA123" s="1"/>
      <c r="AB123" s="1"/>
      <c r="AC123" s="1"/>
      <c r="AD123" s="1"/>
      <c r="AE123" s="1"/>
      <c r="AF123" s="1"/>
      <c r="AG123" s="1"/>
      <c r="AH123" s="1"/>
      <c r="AI123" s="1"/>
      <c r="AJ123" s="1"/>
      <c r="AK123" s="1"/>
      <c r="AL123" s="1"/>
      <c r="AM123" s="1"/>
      <c r="AN123" s="1"/>
      <c r="AO123" s="1"/>
      <c r="AP123" s="1"/>
      <c r="AQ123" s="1"/>
      <c r="AR123" s="1"/>
      <c r="AS123" s="1"/>
    </row>
    <row r="124" spans="3:45" x14ac:dyDescent="0.25">
      <c r="Q124" s="2"/>
      <c r="V124" s="3"/>
      <c r="W124" s="3"/>
      <c r="X124" s="3"/>
      <c r="Y124" s="58"/>
      <c r="Z124" s="1"/>
      <c r="AA124" s="1"/>
      <c r="AB124" s="1"/>
      <c r="AC124" s="1"/>
      <c r="AD124" s="1"/>
      <c r="AE124" s="1"/>
      <c r="AF124" s="1"/>
      <c r="AG124" s="1"/>
      <c r="AH124" s="1"/>
      <c r="AI124" s="1"/>
      <c r="AJ124" s="1"/>
      <c r="AK124" s="1"/>
      <c r="AL124" s="1"/>
      <c r="AM124" s="1"/>
      <c r="AN124" s="1"/>
      <c r="AO124" s="1"/>
      <c r="AP124" s="1"/>
      <c r="AQ124" s="1"/>
      <c r="AR124" s="1"/>
      <c r="AS124" s="1"/>
    </row>
    <row r="125" spans="3:45" x14ac:dyDescent="0.25">
      <c r="Q125" s="2"/>
      <c r="V125" s="3"/>
      <c r="W125" s="3"/>
      <c r="X125" s="3"/>
      <c r="Y125" s="3"/>
    </row>
    <row r="126" spans="3:45" x14ac:dyDescent="0.25">
      <c r="Q126" s="2"/>
      <c r="V126" s="3"/>
      <c r="W126" s="3"/>
      <c r="X126" s="3"/>
      <c r="Y126" s="3"/>
    </row>
    <row r="127" spans="3:45" x14ac:dyDescent="0.25">
      <c r="Q127" s="2"/>
      <c r="V127" s="3"/>
      <c r="W127" s="3"/>
      <c r="X127" s="3"/>
      <c r="Y127" s="3"/>
    </row>
    <row r="128" spans="3:45" x14ac:dyDescent="0.25">
      <c r="Q128" s="2"/>
      <c r="V128" s="3"/>
      <c r="W128" s="3"/>
      <c r="X128" s="3"/>
      <c r="Y128" s="3"/>
    </row>
    <row r="129" spans="17:25" x14ac:dyDescent="0.25">
      <c r="Q129" s="2"/>
      <c r="V129" s="3"/>
      <c r="W129" s="3"/>
      <c r="X129" s="3"/>
      <c r="Y129" s="3"/>
    </row>
    <row r="130" spans="17:25" x14ac:dyDescent="0.25">
      <c r="Q130" s="2"/>
      <c r="V130" s="3"/>
      <c r="W130" s="3"/>
      <c r="X130" s="3"/>
      <c r="Y130" s="3"/>
    </row>
    <row r="131" spans="17:25" x14ac:dyDescent="0.25">
      <c r="Q131" s="2"/>
      <c r="V131" s="3"/>
      <c r="W131" s="3"/>
      <c r="X131" s="3"/>
      <c r="Y131" s="3"/>
    </row>
    <row r="132" spans="17:25" x14ac:dyDescent="0.25">
      <c r="Q132" s="2"/>
      <c r="V132" s="3"/>
      <c r="W132" s="3"/>
      <c r="X132" s="3"/>
      <c r="Y132" s="3"/>
    </row>
    <row r="133" spans="17:25" x14ac:dyDescent="0.25">
      <c r="Q133" s="2"/>
      <c r="V133" s="3"/>
      <c r="W133" s="3"/>
      <c r="X133" s="3"/>
      <c r="Y133" s="3"/>
    </row>
    <row r="134" spans="17:25" x14ac:dyDescent="0.25">
      <c r="Q134" s="2"/>
      <c r="V134" s="3"/>
      <c r="W134" s="3"/>
      <c r="X134" s="3"/>
      <c r="Y134" s="3"/>
    </row>
    <row r="135" spans="17:25" x14ac:dyDescent="0.25">
      <c r="Q135" s="2"/>
      <c r="V135" s="3"/>
      <c r="W135" s="3"/>
      <c r="X135" s="3"/>
      <c r="Y135" s="3"/>
    </row>
    <row r="136" spans="17:25" x14ac:dyDescent="0.25">
      <c r="Q136" s="2"/>
      <c r="V136" s="3"/>
      <c r="W136" s="3"/>
      <c r="X136" s="3"/>
      <c r="Y136" s="3"/>
    </row>
    <row r="137" spans="17:25" x14ac:dyDescent="0.25">
      <c r="Q137" s="2"/>
      <c r="V137" s="3"/>
      <c r="W137" s="3"/>
      <c r="X137" s="3"/>
      <c r="Y137" s="3"/>
    </row>
    <row r="138" spans="17:25" x14ac:dyDescent="0.25">
      <c r="Q138" s="2"/>
      <c r="V138" s="3"/>
      <c r="W138" s="3"/>
      <c r="X138" s="3"/>
      <c r="Y138" s="3"/>
    </row>
    <row r="139" spans="17:25" x14ac:dyDescent="0.25">
      <c r="Q139" s="2"/>
      <c r="V139" s="3"/>
      <c r="W139" s="3"/>
      <c r="X139" s="3"/>
      <c r="Y139" s="3"/>
    </row>
    <row r="140" spans="17:25" x14ac:dyDescent="0.25">
      <c r="Q140" s="2"/>
      <c r="V140" s="3"/>
      <c r="W140" s="3"/>
      <c r="X140" s="3"/>
      <c r="Y140" s="3"/>
    </row>
    <row r="141" spans="17:25" x14ac:dyDescent="0.25">
      <c r="Q141" s="2"/>
      <c r="V141" s="3"/>
      <c r="W141" s="3"/>
      <c r="X141" s="3"/>
      <c r="Y141" s="3"/>
    </row>
    <row r="142" spans="17:25" x14ac:dyDescent="0.25">
      <c r="Q142" s="2"/>
      <c r="V142" s="3"/>
      <c r="W142" s="3"/>
      <c r="X142" s="3"/>
      <c r="Y142" s="3"/>
    </row>
    <row r="143" spans="17:25" x14ac:dyDescent="0.25">
      <c r="Q143" s="2"/>
      <c r="V143" s="3"/>
      <c r="W143" s="3"/>
      <c r="X143" s="3"/>
      <c r="Y143" s="3"/>
    </row>
    <row r="144" spans="17:25" x14ac:dyDescent="0.25">
      <c r="Q144" s="2"/>
      <c r="V144" s="3"/>
      <c r="W144" s="3"/>
      <c r="X144" s="3"/>
      <c r="Y144" s="3"/>
    </row>
    <row r="145" spans="17:25" x14ac:dyDescent="0.25">
      <c r="Q145" s="2"/>
      <c r="V145" s="3"/>
      <c r="W145" s="3"/>
      <c r="X145" s="3"/>
      <c r="Y145" s="3"/>
    </row>
    <row r="146" spans="17:25" x14ac:dyDescent="0.25">
      <c r="Q146" s="2"/>
      <c r="V146" s="3"/>
      <c r="W146" s="3"/>
      <c r="X146" s="3"/>
      <c r="Y146" s="3"/>
    </row>
    <row r="147" spans="17:25" x14ac:dyDescent="0.25">
      <c r="Q147" s="2"/>
      <c r="V147" s="3"/>
      <c r="W147" s="3"/>
      <c r="X147" s="3"/>
      <c r="Y147" s="3"/>
    </row>
    <row r="148" spans="17:25" x14ac:dyDescent="0.25">
      <c r="Q148" s="2"/>
      <c r="V148" s="3"/>
      <c r="W148" s="3"/>
      <c r="X148" s="3"/>
      <c r="Y148" s="3"/>
    </row>
    <row r="149" spans="17:25" x14ac:dyDescent="0.25">
      <c r="Q149" s="2"/>
      <c r="V149" s="3"/>
      <c r="W149" s="3"/>
      <c r="X149" s="3"/>
      <c r="Y149" s="3"/>
    </row>
    <row r="150" spans="17:25" x14ac:dyDescent="0.25">
      <c r="Q150" s="2"/>
      <c r="V150" s="3"/>
      <c r="W150" s="3"/>
      <c r="X150" s="3"/>
      <c r="Y150" s="3"/>
    </row>
    <row r="151" spans="17:25" x14ac:dyDescent="0.25">
      <c r="Q151" s="2"/>
      <c r="V151" s="3"/>
      <c r="W151" s="3"/>
      <c r="X151" s="3"/>
      <c r="Y151" s="3"/>
    </row>
    <row r="152" spans="17:25" x14ac:dyDescent="0.25">
      <c r="Q152" s="2"/>
      <c r="V152" s="3"/>
      <c r="W152" s="3"/>
      <c r="X152" s="3"/>
      <c r="Y152" s="3"/>
    </row>
  </sheetData>
  <mergeCells count="2">
    <mergeCell ref="G14:I19"/>
    <mergeCell ref="G9:I1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Ingo</dc:creator>
  <cp:lastModifiedBy>Ingo</cp:lastModifiedBy>
  <dcterms:created xsi:type="dcterms:W3CDTF">2018-12-20T07:34:23Z</dcterms:created>
  <dcterms:modified xsi:type="dcterms:W3CDTF">2018-12-20T16:45:57Z</dcterms:modified>
</cp:coreProperties>
</file>