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1510" windowHeight="13170" tabRatio="500"/>
  </bookViews>
  <sheets>
    <sheet name="Mondphasen (Datum)" sheetId="1" r:id="rId1"/>
    <sheet name="Mondphasen (Jahr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86419768" val="1064" rev="124" rev64="64" revOS="3" revMin="124" revMax="0"/>
      <pm:docPrefs xmlns:pm="smNativeData" id="1686419768" fixedDigits="0" showNotice="1" showFrameBounds="1" autoChart="1" recalcOnPrint="1" recalcOnCopy="1" compatTextArt="1" tab="567" useDefinedPrintRange="1" printArea="currentSheet"/>
      <pm:compatibility xmlns:pm="smNativeData" id="1686419768" overlapCells="1"/>
      <pm:defCurrency xmlns:pm="smNativeData" id="1686419768"/>
    </ext>
  </extLst>
</workbook>
</file>

<file path=xl/calcChain.xml><?xml version="1.0" encoding="utf-8"?>
<calcChain xmlns="http://schemas.openxmlformats.org/spreadsheetml/2006/main">
  <c r="N92" i="2" l="1"/>
  <c r="O92" i="2" s="1"/>
  <c r="M92" i="2"/>
  <c r="H92" i="2"/>
  <c r="I92" i="2" s="1"/>
  <c r="U92" i="2" s="1"/>
  <c r="G92" i="2"/>
  <c r="N91" i="2"/>
  <c r="O91" i="2" s="1"/>
  <c r="T91" i="2" s="1"/>
  <c r="M91" i="2"/>
  <c r="H91" i="2"/>
  <c r="I91" i="2" s="1"/>
  <c r="G91" i="2"/>
  <c r="N90" i="2"/>
  <c r="M90" i="2"/>
  <c r="H90" i="2"/>
  <c r="G90" i="2"/>
  <c r="R74" i="2"/>
  <c r="R75" i="2" s="1"/>
  <c r="B15" i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D3" i="2"/>
  <c r="C2" i="2"/>
  <c r="C1" i="2"/>
  <c r="C3" i="2" s="1"/>
  <c r="I10" i="2" s="1"/>
  <c r="AE10" i="2" s="1"/>
  <c r="C16" i="1"/>
  <c r="C2" i="1"/>
  <c r="C1" i="1"/>
  <c r="C3" i="1" s="1"/>
  <c r="G16" i="1" l="1"/>
  <c r="N16" i="1" s="1"/>
  <c r="I8" i="1" s="1"/>
  <c r="AB8" i="1" s="1"/>
  <c r="T92" i="2"/>
  <c r="O90" i="2"/>
  <c r="S90" i="2" s="1"/>
  <c r="I90" i="2"/>
  <c r="U90" i="2"/>
  <c r="U91" i="2"/>
  <c r="S91" i="2"/>
  <c r="R91" i="2"/>
  <c r="R92" i="2"/>
  <c r="V92" i="2" s="1"/>
  <c r="S92" i="2"/>
  <c r="I8" i="2"/>
  <c r="J10" i="2"/>
  <c r="P10" i="2" s="1"/>
  <c r="J8" i="1"/>
  <c r="P8" i="1" s="1"/>
  <c r="AK8" i="1"/>
  <c r="AC8" i="1"/>
  <c r="I10" i="1"/>
  <c r="AA8" i="1"/>
  <c r="AJ8" i="1"/>
  <c r="Z8" i="1"/>
  <c r="L8" i="1"/>
  <c r="AI8" i="1"/>
  <c r="I11" i="1"/>
  <c r="AG8" i="1"/>
  <c r="I12" i="1"/>
  <c r="O8" i="1"/>
  <c r="I21" i="2"/>
  <c r="I24" i="2"/>
  <c r="I39" i="2"/>
  <c r="AD10" i="2"/>
  <c r="I63" i="2"/>
  <c r="I61" i="2"/>
  <c r="I50" i="2"/>
  <c r="I48" i="2"/>
  <c r="I65" i="2"/>
  <c r="I54" i="2"/>
  <c r="I52" i="2"/>
  <c r="I58" i="2"/>
  <c r="I56" i="2"/>
  <c r="I62" i="2"/>
  <c r="I60" i="2"/>
  <c r="I43" i="2"/>
  <c r="I64" i="2"/>
  <c r="I47" i="2"/>
  <c r="I45" i="2"/>
  <c r="I55" i="2"/>
  <c r="I53" i="2"/>
  <c r="I41" i="2"/>
  <c r="I30" i="2"/>
  <c r="I28" i="2"/>
  <c r="I42" i="2"/>
  <c r="I34" i="2"/>
  <c r="I32" i="2"/>
  <c r="I38" i="2"/>
  <c r="I36" i="2"/>
  <c r="I51" i="2"/>
  <c r="I44" i="2"/>
  <c r="I40" i="2"/>
  <c r="I23" i="2"/>
  <c r="I27" i="2"/>
  <c r="I25" i="2"/>
  <c r="I31" i="2"/>
  <c r="I49" i="2"/>
  <c r="I46" i="2"/>
  <c r="I33" i="2"/>
  <c r="I12" i="2"/>
  <c r="AK10" i="2"/>
  <c r="AC10" i="2"/>
  <c r="I17" i="2"/>
  <c r="AJ10" i="2"/>
  <c r="AB10" i="2"/>
  <c r="I35" i="2"/>
  <c r="I29" i="2"/>
  <c r="I26" i="2"/>
  <c r="I22" i="2"/>
  <c r="I20" i="2"/>
  <c r="I15" i="2"/>
  <c r="AI10" i="2"/>
  <c r="AA10" i="2"/>
  <c r="I18" i="2"/>
  <c r="AH10" i="2"/>
  <c r="Z10" i="2"/>
  <c r="I13" i="2"/>
  <c r="AG10" i="2"/>
  <c r="Y10" i="2"/>
  <c r="I59" i="2"/>
  <c r="I37" i="2"/>
  <c r="I16" i="2"/>
  <c r="I11" i="2"/>
  <c r="AF10" i="2"/>
  <c r="I14" i="2"/>
  <c r="I19" i="2"/>
  <c r="I57" i="2"/>
  <c r="AD8" i="1" l="1"/>
  <c r="AF8" i="1"/>
  <c r="AH8" i="1"/>
  <c r="AE8" i="1"/>
  <c r="I9" i="1"/>
  <c r="Y8" i="1"/>
  <c r="N8" i="1"/>
  <c r="T90" i="2"/>
  <c r="R90" i="2"/>
  <c r="V91" i="2"/>
  <c r="V90" i="2"/>
  <c r="AE8" i="2"/>
  <c r="AD8" i="2"/>
  <c r="AK8" i="2"/>
  <c r="AC8" i="2"/>
  <c r="I9" i="2"/>
  <c r="AJ8" i="2"/>
  <c r="AB8" i="2"/>
  <c r="AI8" i="2"/>
  <c r="AA8" i="2"/>
  <c r="AH8" i="2"/>
  <c r="Z8" i="2"/>
  <c r="AG8" i="2"/>
  <c r="Y8" i="2"/>
  <c r="AF8" i="2"/>
  <c r="J8" i="2"/>
  <c r="P8" i="2" s="1"/>
  <c r="X8" i="1"/>
  <c r="M8" i="1"/>
  <c r="AF40" i="2"/>
  <c r="AE40" i="2"/>
  <c r="AD40" i="2"/>
  <c r="J40" i="2"/>
  <c r="P40" i="2" s="1"/>
  <c r="AK40" i="2"/>
  <c r="AC40" i="2"/>
  <c r="AJ40" i="2"/>
  <c r="AB40" i="2"/>
  <c r="AI40" i="2"/>
  <c r="AA40" i="2"/>
  <c r="AH40" i="2"/>
  <c r="AG40" i="2"/>
  <c r="Z40" i="2"/>
  <c r="Y40" i="2"/>
  <c r="AH33" i="2"/>
  <c r="Z33" i="2"/>
  <c r="AG33" i="2"/>
  <c r="Y33" i="2"/>
  <c r="AF33" i="2"/>
  <c r="AE33" i="2"/>
  <c r="AD33" i="2"/>
  <c r="AK33" i="2"/>
  <c r="AC33" i="2"/>
  <c r="J33" i="2"/>
  <c r="P33" i="2" s="1"/>
  <c r="AJ33" i="2"/>
  <c r="AI33" i="2"/>
  <c r="AB33" i="2"/>
  <c r="AA33" i="2"/>
  <c r="AK50" i="2"/>
  <c r="AC50" i="2"/>
  <c r="AJ50" i="2"/>
  <c r="AB50" i="2"/>
  <c r="AI50" i="2"/>
  <c r="AA50" i="2"/>
  <c r="AH50" i="2"/>
  <c r="Z50" i="2"/>
  <c r="AG50" i="2"/>
  <c r="Y50" i="2"/>
  <c r="AE50" i="2"/>
  <c r="J50" i="2"/>
  <c r="P50" i="2" s="1"/>
  <c r="AF50" i="2"/>
  <c r="AD50" i="2"/>
  <c r="O10" i="2"/>
  <c r="AH35" i="2"/>
  <c r="Z35" i="2"/>
  <c r="AG35" i="2"/>
  <c r="Y35" i="2"/>
  <c r="AF35" i="2"/>
  <c r="AE35" i="2"/>
  <c r="AD35" i="2"/>
  <c r="AK35" i="2"/>
  <c r="AC35" i="2"/>
  <c r="J35" i="2"/>
  <c r="P35" i="2" s="1"/>
  <c r="AJ35" i="2"/>
  <c r="AI35" i="2"/>
  <c r="AB35" i="2"/>
  <c r="AA35" i="2"/>
  <c r="AJ46" i="2"/>
  <c r="AB46" i="2"/>
  <c r="AI46" i="2"/>
  <c r="AA46" i="2"/>
  <c r="AH46" i="2"/>
  <c r="Z46" i="2"/>
  <c r="AG46" i="2"/>
  <c r="Y46" i="2"/>
  <c r="AF46" i="2"/>
  <c r="AC46" i="2"/>
  <c r="AK46" i="2"/>
  <c r="J46" i="2"/>
  <c r="P46" i="2" s="1"/>
  <c r="AE46" i="2"/>
  <c r="AD46" i="2"/>
  <c r="AG51" i="2"/>
  <c r="Y51" i="2"/>
  <c r="AF51" i="2"/>
  <c r="AE51" i="2"/>
  <c r="AD51" i="2"/>
  <c r="AK51" i="2"/>
  <c r="AC51" i="2"/>
  <c r="J51" i="2"/>
  <c r="P51" i="2" s="1"/>
  <c r="AJ51" i="2"/>
  <c r="AB51" i="2"/>
  <c r="AI51" i="2"/>
  <c r="AA51" i="2"/>
  <c r="AH51" i="2"/>
  <c r="Z51" i="2"/>
  <c r="AE41" i="2"/>
  <c r="AD41" i="2"/>
  <c r="AK41" i="2"/>
  <c r="AC41" i="2"/>
  <c r="AB41" i="2"/>
  <c r="AA41" i="2"/>
  <c r="Z41" i="2"/>
  <c r="AJ41" i="2"/>
  <c r="Y41" i="2"/>
  <c r="AI41" i="2"/>
  <c r="AH41" i="2"/>
  <c r="J41" i="2"/>
  <c r="O41" i="2" s="1"/>
  <c r="AG41" i="2"/>
  <c r="AF41" i="2"/>
  <c r="AF62" i="2"/>
  <c r="AE62" i="2"/>
  <c r="AD62" i="2"/>
  <c r="J62" i="2"/>
  <c r="L62" i="2" s="1"/>
  <c r="AK62" i="2"/>
  <c r="AC62" i="2"/>
  <c r="AJ62" i="2"/>
  <c r="AB62" i="2"/>
  <c r="AI62" i="2"/>
  <c r="AA62" i="2"/>
  <c r="AH62" i="2"/>
  <c r="Z62" i="2"/>
  <c r="AG62" i="2"/>
  <c r="Y62" i="2"/>
  <c r="AJ61" i="2"/>
  <c r="AB61" i="2"/>
  <c r="AI61" i="2"/>
  <c r="AA61" i="2"/>
  <c r="AH61" i="2"/>
  <c r="Z61" i="2"/>
  <c r="AG61" i="2"/>
  <c r="Y61" i="2"/>
  <c r="AF61" i="2"/>
  <c r="AE61" i="2"/>
  <c r="AD61" i="2"/>
  <c r="J61" i="2"/>
  <c r="O61" i="2" s="1"/>
  <c r="AK61" i="2"/>
  <c r="AC61" i="2"/>
  <c r="L10" i="2"/>
  <c r="AG49" i="2"/>
  <c r="Y49" i="2"/>
  <c r="AF49" i="2"/>
  <c r="AE49" i="2"/>
  <c r="AD49" i="2"/>
  <c r="AK49" i="2"/>
  <c r="AC49" i="2"/>
  <c r="J49" i="2"/>
  <c r="X49" i="2" s="1"/>
  <c r="AB49" i="2"/>
  <c r="AA49" i="2"/>
  <c r="Z49" i="2"/>
  <c r="AJ49" i="2"/>
  <c r="AI49" i="2"/>
  <c r="AH49" i="2"/>
  <c r="AE36" i="2"/>
  <c r="AD36" i="2"/>
  <c r="J36" i="2"/>
  <c r="N36" i="2" s="1"/>
  <c r="AK36" i="2"/>
  <c r="AC36" i="2"/>
  <c r="AJ36" i="2"/>
  <c r="AB36" i="2"/>
  <c r="AI36" i="2"/>
  <c r="AA36" i="2"/>
  <c r="AH36" i="2"/>
  <c r="Z36" i="2"/>
  <c r="Y36" i="2"/>
  <c r="AG36" i="2"/>
  <c r="AF36" i="2"/>
  <c r="AH53" i="2"/>
  <c r="Z53" i="2"/>
  <c r="AG53" i="2"/>
  <c r="Y53" i="2"/>
  <c r="AF53" i="2"/>
  <c r="AE53" i="2"/>
  <c r="AD53" i="2"/>
  <c r="AK53" i="2"/>
  <c r="AC53" i="2"/>
  <c r="J53" i="2"/>
  <c r="X53" i="2" s="1"/>
  <c r="AJ53" i="2"/>
  <c r="AB53" i="2"/>
  <c r="AI53" i="2"/>
  <c r="AA53" i="2"/>
  <c r="AE56" i="2"/>
  <c r="AD56" i="2"/>
  <c r="J56" i="2"/>
  <c r="X56" i="2" s="1"/>
  <c r="AK56" i="2"/>
  <c r="AC56" i="2"/>
  <c r="AJ56" i="2"/>
  <c r="AB56" i="2"/>
  <c r="AI56" i="2"/>
  <c r="AA56" i="2"/>
  <c r="AH56" i="2"/>
  <c r="Z56" i="2"/>
  <c r="AG56" i="2"/>
  <c r="Y56" i="2"/>
  <c r="AF56" i="2"/>
  <c r="AJ63" i="2"/>
  <c r="AB63" i="2"/>
  <c r="AI63" i="2"/>
  <c r="AA63" i="2"/>
  <c r="AH63" i="2"/>
  <c r="Z63" i="2"/>
  <c r="AG63" i="2"/>
  <c r="Y63" i="2"/>
  <c r="AF63" i="2"/>
  <c r="AE63" i="2"/>
  <c r="AD63" i="2"/>
  <c r="J63" i="2"/>
  <c r="N63" i="2" s="1"/>
  <c r="AK63" i="2"/>
  <c r="AC63" i="2"/>
  <c r="AD11" i="1"/>
  <c r="AK11" i="1"/>
  <c r="AC11" i="1"/>
  <c r="J11" i="1"/>
  <c r="L11" i="1" s="1"/>
  <c r="AH11" i="1"/>
  <c r="Z11" i="1"/>
  <c r="AJ11" i="1"/>
  <c r="AI11" i="1"/>
  <c r="AG11" i="1"/>
  <c r="AA11" i="1"/>
  <c r="Y11" i="1"/>
  <c r="AF11" i="1"/>
  <c r="AE11" i="1"/>
  <c r="AB11" i="1"/>
  <c r="AG10" i="1"/>
  <c r="Y10" i="1"/>
  <c r="AF10" i="1"/>
  <c r="AK10" i="1"/>
  <c r="AC10" i="1"/>
  <c r="Z10" i="1"/>
  <c r="AJ10" i="1"/>
  <c r="AI10" i="1"/>
  <c r="AA10" i="1"/>
  <c r="AH10" i="1"/>
  <c r="AE10" i="1"/>
  <c r="AB10" i="1"/>
  <c r="AD10" i="1"/>
  <c r="J10" i="1"/>
  <c r="P10" i="1" s="1"/>
  <c r="AI19" i="2"/>
  <c r="AA19" i="2"/>
  <c r="AH19" i="2"/>
  <c r="Z19" i="2"/>
  <c r="AG19" i="2"/>
  <c r="Y19" i="2"/>
  <c r="AF19" i="2"/>
  <c r="AE19" i="2"/>
  <c r="AD19" i="2"/>
  <c r="AC19" i="2"/>
  <c r="J19" i="2"/>
  <c r="P19" i="2" s="1"/>
  <c r="AK19" i="2"/>
  <c r="AJ19" i="2"/>
  <c r="AB19" i="2"/>
  <c r="AJ26" i="2"/>
  <c r="AB26" i="2"/>
  <c r="AI26" i="2"/>
  <c r="AA26" i="2"/>
  <c r="AH26" i="2"/>
  <c r="Z26" i="2"/>
  <c r="AG26" i="2"/>
  <c r="Y26" i="2"/>
  <c r="AF26" i="2"/>
  <c r="AK26" i="2"/>
  <c r="J26" i="2"/>
  <c r="P26" i="2" s="1"/>
  <c r="AE26" i="2"/>
  <c r="AD26" i="2"/>
  <c r="AC26" i="2"/>
  <c r="AK28" i="2"/>
  <c r="AC28" i="2"/>
  <c r="AJ28" i="2"/>
  <c r="AB28" i="2"/>
  <c r="AI28" i="2"/>
  <c r="AA28" i="2"/>
  <c r="AH28" i="2"/>
  <c r="Z28" i="2"/>
  <c r="AG28" i="2"/>
  <c r="Y28" i="2"/>
  <c r="AF28" i="2"/>
  <c r="J28" i="2"/>
  <c r="P28" i="2" s="1"/>
  <c r="AE28" i="2"/>
  <c r="AD28" i="2"/>
  <c r="AK48" i="2"/>
  <c r="AC48" i="2"/>
  <c r="AJ48" i="2"/>
  <c r="AB48" i="2"/>
  <c r="AI48" i="2"/>
  <c r="AA48" i="2"/>
  <c r="AH48" i="2"/>
  <c r="Z48" i="2"/>
  <c r="AG48" i="2"/>
  <c r="Y48" i="2"/>
  <c r="AF48" i="2"/>
  <c r="J48" i="2"/>
  <c r="P48" i="2" s="1"/>
  <c r="AE48" i="2"/>
  <c r="AD48" i="2"/>
  <c r="AI59" i="2"/>
  <c r="AA59" i="2"/>
  <c r="AH59" i="2"/>
  <c r="Z59" i="2"/>
  <c r="AG59" i="2"/>
  <c r="Y59" i="2"/>
  <c r="AF59" i="2"/>
  <c r="AE59" i="2"/>
  <c r="AD59" i="2"/>
  <c r="AK59" i="2"/>
  <c r="AC59" i="2"/>
  <c r="J59" i="2"/>
  <c r="P59" i="2" s="1"/>
  <c r="AJ59" i="2"/>
  <c r="AB59" i="2"/>
  <c r="AG29" i="2"/>
  <c r="Y29" i="2"/>
  <c r="AF29" i="2"/>
  <c r="AE29" i="2"/>
  <c r="AD29" i="2"/>
  <c r="AK29" i="2"/>
  <c r="AC29" i="2"/>
  <c r="J29" i="2"/>
  <c r="M29" i="2" s="1"/>
  <c r="AJ29" i="2"/>
  <c r="AI29" i="2"/>
  <c r="AH29" i="2"/>
  <c r="AB29" i="2"/>
  <c r="AA29" i="2"/>
  <c r="Z29" i="2"/>
  <c r="AJ44" i="2"/>
  <c r="AB44" i="2"/>
  <c r="AI44" i="2"/>
  <c r="AA44" i="2"/>
  <c r="AH44" i="2"/>
  <c r="Z44" i="2"/>
  <c r="AG44" i="2"/>
  <c r="Y44" i="2"/>
  <c r="AF44" i="2"/>
  <c r="AK44" i="2"/>
  <c r="J44" i="2"/>
  <c r="P44" i="2" s="1"/>
  <c r="AE44" i="2"/>
  <c r="AD44" i="2"/>
  <c r="AC44" i="2"/>
  <c r="AF60" i="2"/>
  <c r="AE60" i="2"/>
  <c r="AD60" i="2"/>
  <c r="J60" i="2"/>
  <c r="N60" i="2" s="1"/>
  <c r="AK60" i="2"/>
  <c r="AC60" i="2"/>
  <c r="AJ60" i="2"/>
  <c r="AB60" i="2"/>
  <c r="AI60" i="2"/>
  <c r="AA60" i="2"/>
  <c r="AH60" i="2"/>
  <c r="Z60" i="2"/>
  <c r="AG60" i="2"/>
  <c r="Y60" i="2"/>
  <c r="AI14" i="2"/>
  <c r="AA14" i="2"/>
  <c r="AH14" i="2"/>
  <c r="Z14" i="2"/>
  <c r="AG14" i="2"/>
  <c r="Y14" i="2"/>
  <c r="AF14" i="2"/>
  <c r="AE14" i="2"/>
  <c r="AD14" i="2"/>
  <c r="J14" i="2"/>
  <c r="P14" i="2" s="1"/>
  <c r="AK14" i="2"/>
  <c r="AJ14" i="2"/>
  <c r="AC14" i="2"/>
  <c r="AB14" i="2"/>
  <c r="X10" i="2"/>
  <c r="V10" i="2" s="1"/>
  <c r="AG31" i="2"/>
  <c r="Y31" i="2"/>
  <c r="AF31" i="2"/>
  <c r="AE31" i="2"/>
  <c r="AD31" i="2"/>
  <c r="AK31" i="2"/>
  <c r="AC31" i="2"/>
  <c r="J31" i="2"/>
  <c r="X31" i="2" s="1"/>
  <c r="AJ31" i="2"/>
  <c r="AB31" i="2"/>
  <c r="AI31" i="2"/>
  <c r="AH31" i="2"/>
  <c r="AA31" i="2"/>
  <c r="Z31" i="2"/>
  <c r="AI37" i="2"/>
  <c r="AA37" i="2"/>
  <c r="AH37" i="2"/>
  <c r="Z37" i="2"/>
  <c r="AG37" i="2"/>
  <c r="Y37" i="2"/>
  <c r="AF37" i="2"/>
  <c r="AE37" i="2"/>
  <c r="AD37" i="2"/>
  <c r="AC37" i="2"/>
  <c r="AB37" i="2"/>
  <c r="J37" i="2"/>
  <c r="P37" i="2" s="1"/>
  <c r="AK37" i="2"/>
  <c r="AJ37" i="2"/>
  <c r="AK12" i="2"/>
  <c r="AC12" i="2"/>
  <c r="AJ12" i="2"/>
  <c r="AB12" i="2"/>
  <c r="AI12" i="2"/>
  <c r="AA12" i="2"/>
  <c r="AH12" i="2"/>
  <c r="Z12" i="2"/>
  <c r="AG12" i="2"/>
  <c r="Y12" i="2"/>
  <c r="AF12" i="2"/>
  <c r="AE12" i="2"/>
  <c r="AD12" i="2"/>
  <c r="J12" i="2"/>
  <c r="P12" i="2" s="1"/>
  <c r="AE43" i="2"/>
  <c r="AD43" i="2"/>
  <c r="AK43" i="2"/>
  <c r="AC43" i="2"/>
  <c r="J43" i="2"/>
  <c r="P43" i="2" s="1"/>
  <c r="AJ43" i="2"/>
  <c r="AB43" i="2"/>
  <c r="AI43" i="2"/>
  <c r="AA43" i="2"/>
  <c r="Y43" i="2"/>
  <c r="AH43" i="2"/>
  <c r="AG43" i="2"/>
  <c r="AF43" i="2"/>
  <c r="Z43" i="2"/>
  <c r="AF18" i="2"/>
  <c r="AE18" i="2"/>
  <c r="AD18" i="2"/>
  <c r="J18" i="2"/>
  <c r="L18" i="2" s="1"/>
  <c r="AK18" i="2"/>
  <c r="AC18" i="2"/>
  <c r="AJ18" i="2"/>
  <c r="AB18" i="2"/>
  <c r="AI18" i="2"/>
  <c r="AA18" i="2"/>
  <c r="Z18" i="2"/>
  <c r="AH18" i="2"/>
  <c r="Y18" i="2"/>
  <c r="AG18" i="2"/>
  <c r="AK30" i="2"/>
  <c r="AC30" i="2"/>
  <c r="AJ30" i="2"/>
  <c r="AB30" i="2"/>
  <c r="AI30" i="2"/>
  <c r="AA30" i="2"/>
  <c r="AH30" i="2"/>
  <c r="Z30" i="2"/>
  <c r="AG30" i="2"/>
  <c r="Y30" i="2"/>
  <c r="AF30" i="2"/>
  <c r="J30" i="2"/>
  <c r="P30" i="2" s="1"/>
  <c r="AE30" i="2"/>
  <c r="AD30" i="2"/>
  <c r="AI12" i="1"/>
  <c r="AA12" i="1"/>
  <c r="AH12" i="1"/>
  <c r="Z12" i="1"/>
  <c r="AE12" i="1"/>
  <c r="AJ12" i="1"/>
  <c r="AG12" i="1"/>
  <c r="AF12" i="1"/>
  <c r="AD12" i="1"/>
  <c r="AC12" i="1"/>
  <c r="Y12" i="1"/>
  <c r="AK12" i="1"/>
  <c r="AB12" i="1"/>
  <c r="J12" i="1"/>
  <c r="P12" i="1" s="1"/>
  <c r="AI57" i="2"/>
  <c r="AA57" i="2"/>
  <c r="AH57" i="2"/>
  <c r="Z57" i="2"/>
  <c r="AG57" i="2"/>
  <c r="Y57" i="2"/>
  <c r="AF57" i="2"/>
  <c r="AE57" i="2"/>
  <c r="AD57" i="2"/>
  <c r="AK57" i="2"/>
  <c r="AC57" i="2"/>
  <c r="J57" i="2"/>
  <c r="P57" i="2" s="1"/>
  <c r="AJ57" i="2"/>
  <c r="AB57" i="2"/>
  <c r="AE38" i="2"/>
  <c r="AD38" i="2"/>
  <c r="J38" i="2"/>
  <c r="N38" i="2" s="1"/>
  <c r="AK38" i="2"/>
  <c r="AC38" i="2"/>
  <c r="AJ38" i="2"/>
  <c r="AB38" i="2"/>
  <c r="AI38" i="2"/>
  <c r="AA38" i="2"/>
  <c r="AH38" i="2"/>
  <c r="Z38" i="2"/>
  <c r="AG38" i="2"/>
  <c r="AF38" i="2"/>
  <c r="Y38" i="2"/>
  <c r="AF13" i="2"/>
  <c r="AE13" i="2"/>
  <c r="AD13" i="2"/>
  <c r="AK13" i="2"/>
  <c r="AC13" i="2"/>
  <c r="J13" i="2"/>
  <c r="X13" i="2" s="1"/>
  <c r="AJ13" i="2"/>
  <c r="AB13" i="2"/>
  <c r="AI13" i="2"/>
  <c r="AA13" i="2"/>
  <c r="AH13" i="2"/>
  <c r="AG13" i="2"/>
  <c r="Z13" i="2"/>
  <c r="Y13" i="2"/>
  <c r="AK17" i="2"/>
  <c r="AC17" i="2"/>
  <c r="J17" i="2"/>
  <c r="P17" i="2" s="1"/>
  <c r="AJ17" i="2"/>
  <c r="AB17" i="2"/>
  <c r="AI17" i="2"/>
  <c r="AA17" i="2"/>
  <c r="AH17" i="2"/>
  <c r="Z17" i="2"/>
  <c r="AG17" i="2"/>
  <c r="Y17" i="2"/>
  <c r="AF17" i="2"/>
  <c r="AE17" i="2"/>
  <c r="AD17" i="2"/>
  <c r="AD32" i="2"/>
  <c r="J32" i="2"/>
  <c r="P32" i="2" s="1"/>
  <c r="AK32" i="2"/>
  <c r="AC32" i="2"/>
  <c r="AJ32" i="2"/>
  <c r="AB32" i="2"/>
  <c r="AI32" i="2"/>
  <c r="AA32" i="2"/>
  <c r="AH32" i="2"/>
  <c r="Z32" i="2"/>
  <c r="AG32" i="2"/>
  <c r="Y32" i="2"/>
  <c r="AF32" i="2"/>
  <c r="AE32" i="2"/>
  <c r="AI39" i="2"/>
  <c r="AA39" i="2"/>
  <c r="AH39" i="2"/>
  <c r="Z39" i="2"/>
  <c r="AG39" i="2"/>
  <c r="Y39" i="2"/>
  <c r="AF39" i="2"/>
  <c r="AE39" i="2"/>
  <c r="AD39" i="2"/>
  <c r="AK39" i="2"/>
  <c r="AJ39" i="2"/>
  <c r="AC39" i="2"/>
  <c r="AB39" i="2"/>
  <c r="J39" i="2"/>
  <c r="N39" i="2" s="1"/>
  <c r="AG11" i="2"/>
  <c r="Y11" i="2"/>
  <c r="AF11" i="2"/>
  <c r="AE11" i="2"/>
  <c r="AD11" i="2"/>
  <c r="AK11" i="2"/>
  <c r="AC11" i="2"/>
  <c r="J11" i="2"/>
  <c r="P11" i="2" s="1"/>
  <c r="AJ11" i="2"/>
  <c r="AB11" i="2"/>
  <c r="AA11" i="2"/>
  <c r="Z11" i="2"/>
  <c r="AH11" i="2"/>
  <c r="AI11" i="2"/>
  <c r="N10" i="2"/>
  <c r="AE20" i="2"/>
  <c r="AD20" i="2"/>
  <c r="J20" i="2"/>
  <c r="L20" i="2" s="1"/>
  <c r="AK20" i="2"/>
  <c r="AC20" i="2"/>
  <c r="AJ20" i="2"/>
  <c r="AB20" i="2"/>
  <c r="AI20" i="2"/>
  <c r="AA20" i="2"/>
  <c r="AH20" i="2"/>
  <c r="Z20" i="2"/>
  <c r="Y20" i="2"/>
  <c r="AG20" i="2"/>
  <c r="AF20" i="2"/>
  <c r="AF27" i="2"/>
  <c r="AE27" i="2"/>
  <c r="AD27" i="2"/>
  <c r="AK27" i="2"/>
  <c r="AC27" i="2"/>
  <c r="J27" i="2"/>
  <c r="X27" i="2" s="1"/>
  <c r="AJ27" i="2"/>
  <c r="AB27" i="2"/>
  <c r="AG27" i="2"/>
  <c r="AA27" i="2"/>
  <c r="Z27" i="2"/>
  <c r="Y27" i="2"/>
  <c r="AI27" i="2"/>
  <c r="AH27" i="2"/>
  <c r="AD34" i="2"/>
  <c r="J34" i="2"/>
  <c r="X34" i="2" s="1"/>
  <c r="AK34" i="2"/>
  <c r="AC34" i="2"/>
  <c r="AJ34" i="2"/>
  <c r="AB34" i="2"/>
  <c r="AI34" i="2"/>
  <c r="AA34" i="2"/>
  <c r="AH34" i="2"/>
  <c r="Z34" i="2"/>
  <c r="AG34" i="2"/>
  <c r="Y34" i="2"/>
  <c r="AF34" i="2"/>
  <c r="AE34" i="2"/>
  <c r="AF47" i="2"/>
  <c r="AE47" i="2"/>
  <c r="AD47" i="2"/>
  <c r="AK47" i="2"/>
  <c r="AC47" i="2"/>
  <c r="J47" i="2"/>
  <c r="O47" i="2" s="1"/>
  <c r="AJ47" i="2"/>
  <c r="AB47" i="2"/>
  <c r="AI47" i="2"/>
  <c r="AH47" i="2"/>
  <c r="AG47" i="2"/>
  <c r="AA47" i="2"/>
  <c r="Z47" i="2"/>
  <c r="Y47" i="2"/>
  <c r="AD54" i="2"/>
  <c r="J54" i="2"/>
  <c r="O54" i="2" s="1"/>
  <c r="AK54" i="2"/>
  <c r="AC54" i="2"/>
  <c r="AJ54" i="2"/>
  <c r="AB54" i="2"/>
  <c r="AI54" i="2"/>
  <c r="AA54" i="2"/>
  <c r="AH54" i="2"/>
  <c r="Z54" i="2"/>
  <c r="AG54" i="2"/>
  <c r="Y54" i="2"/>
  <c r="AF54" i="2"/>
  <c r="AE54" i="2"/>
  <c r="AJ24" i="2"/>
  <c r="AB24" i="2"/>
  <c r="AI24" i="2"/>
  <c r="AA24" i="2"/>
  <c r="AH24" i="2"/>
  <c r="Z24" i="2"/>
  <c r="AG24" i="2"/>
  <c r="Y24" i="2"/>
  <c r="AF24" i="2"/>
  <c r="AD24" i="2"/>
  <c r="AC24" i="2"/>
  <c r="AK24" i="2"/>
  <c r="AE24" i="2"/>
  <c r="J24" i="2"/>
  <c r="O24" i="2" s="1"/>
  <c r="K50" i="2"/>
  <c r="M10" i="2"/>
  <c r="AH55" i="2"/>
  <c r="Z55" i="2"/>
  <c r="AG55" i="2"/>
  <c r="Y55" i="2"/>
  <c r="AF55" i="2"/>
  <c r="AE55" i="2"/>
  <c r="AD55" i="2"/>
  <c r="AK55" i="2"/>
  <c r="AC55" i="2"/>
  <c r="J55" i="2"/>
  <c r="N55" i="2" s="1"/>
  <c r="AJ55" i="2"/>
  <c r="AB55" i="2"/>
  <c r="AI55" i="2"/>
  <c r="AA55" i="2"/>
  <c r="AE58" i="2"/>
  <c r="AD58" i="2"/>
  <c r="J58" i="2"/>
  <c r="P58" i="2" s="1"/>
  <c r="AK58" i="2"/>
  <c r="AC58" i="2"/>
  <c r="AJ58" i="2"/>
  <c r="AB58" i="2"/>
  <c r="AI58" i="2"/>
  <c r="AA58" i="2"/>
  <c r="AH58" i="2"/>
  <c r="Z58" i="2"/>
  <c r="AG58" i="2"/>
  <c r="Y58" i="2"/>
  <c r="AF58" i="2"/>
  <c r="AD15" i="2"/>
  <c r="AK15" i="2"/>
  <c r="AC15" i="2"/>
  <c r="J15" i="2"/>
  <c r="P15" i="2" s="1"/>
  <c r="AJ15" i="2"/>
  <c r="AB15" i="2"/>
  <c r="AI15" i="2"/>
  <c r="AA15" i="2"/>
  <c r="AH15" i="2"/>
  <c r="Z15" i="2"/>
  <c r="AG15" i="2"/>
  <c r="Y15" i="2"/>
  <c r="AF15" i="2"/>
  <c r="AE15" i="2"/>
  <c r="AF25" i="2"/>
  <c r="AE25" i="2"/>
  <c r="AD25" i="2"/>
  <c r="AK25" i="2"/>
  <c r="AC25" i="2"/>
  <c r="J25" i="2"/>
  <c r="X25" i="2" s="1"/>
  <c r="AJ25" i="2"/>
  <c r="AB25" i="2"/>
  <c r="Y25" i="2"/>
  <c r="AI25" i="2"/>
  <c r="AH25" i="2"/>
  <c r="AG25" i="2"/>
  <c r="AA25" i="2"/>
  <c r="Z25" i="2"/>
  <c r="AF45" i="2"/>
  <c r="AE45" i="2"/>
  <c r="AD45" i="2"/>
  <c r="AK45" i="2"/>
  <c r="AC45" i="2"/>
  <c r="J45" i="2"/>
  <c r="X45" i="2" s="1"/>
  <c r="AJ45" i="2"/>
  <c r="AB45" i="2"/>
  <c r="AH45" i="2"/>
  <c r="AG45" i="2"/>
  <c r="AA45" i="2"/>
  <c r="Z45" i="2"/>
  <c r="Y45" i="2"/>
  <c r="AI45" i="2"/>
  <c r="AD52" i="2"/>
  <c r="J52" i="2"/>
  <c r="X52" i="2" s="1"/>
  <c r="AK52" i="2"/>
  <c r="AC52" i="2"/>
  <c r="AJ52" i="2"/>
  <c r="AB52" i="2"/>
  <c r="AI52" i="2"/>
  <c r="AA52" i="2"/>
  <c r="AH52" i="2"/>
  <c r="Z52" i="2"/>
  <c r="AG52" i="2"/>
  <c r="Y52" i="2"/>
  <c r="AF52" i="2"/>
  <c r="AE52" i="2"/>
  <c r="K40" i="2"/>
  <c r="K46" i="2"/>
  <c r="K10" i="2"/>
  <c r="AH16" i="2"/>
  <c r="Z16" i="2"/>
  <c r="AG16" i="2"/>
  <c r="Y16" i="2"/>
  <c r="AF16" i="2"/>
  <c r="AE16" i="2"/>
  <c r="AD16" i="2"/>
  <c r="J16" i="2"/>
  <c r="L16" i="2" s="1"/>
  <c r="AK16" i="2"/>
  <c r="AC16" i="2"/>
  <c r="AJ16" i="2"/>
  <c r="AI16" i="2"/>
  <c r="AB16" i="2"/>
  <c r="AA16" i="2"/>
  <c r="AI22" i="2"/>
  <c r="AG22" i="2"/>
  <c r="AF22" i="2"/>
  <c r="AE22" i="2"/>
  <c r="AD22" i="2"/>
  <c r="J22" i="2"/>
  <c r="O22" i="2" s="1"/>
  <c r="AC22" i="2"/>
  <c r="AB22" i="2"/>
  <c r="AA22" i="2"/>
  <c r="AK22" i="2"/>
  <c r="Z22" i="2"/>
  <c r="AJ22" i="2"/>
  <c r="AH22" i="2"/>
  <c r="Y22" i="2"/>
  <c r="AE23" i="2"/>
  <c r="AK23" i="2"/>
  <c r="AC23" i="2"/>
  <c r="J23" i="2"/>
  <c r="M23" i="2" s="1"/>
  <c r="AJ23" i="2"/>
  <c r="AB23" i="2"/>
  <c r="AI23" i="2"/>
  <c r="AA23" i="2"/>
  <c r="AH23" i="2"/>
  <c r="AG23" i="2"/>
  <c r="AF23" i="2"/>
  <c r="AD23" i="2"/>
  <c r="Z23" i="2"/>
  <c r="Y23" i="2"/>
  <c r="AI42" i="2"/>
  <c r="AA42" i="2"/>
  <c r="AH42" i="2"/>
  <c r="Z42" i="2"/>
  <c r="AG42" i="2"/>
  <c r="Y42" i="2"/>
  <c r="AF42" i="2"/>
  <c r="AE42" i="2"/>
  <c r="AD42" i="2"/>
  <c r="J42" i="2"/>
  <c r="M42" i="2" s="1"/>
  <c r="AC42" i="2"/>
  <c r="AB42" i="2"/>
  <c r="AK42" i="2"/>
  <c r="AJ42" i="2"/>
  <c r="AG64" i="2"/>
  <c r="Y64" i="2"/>
  <c r="AF64" i="2"/>
  <c r="AE64" i="2"/>
  <c r="AD64" i="2"/>
  <c r="J64" i="2"/>
  <c r="N64" i="2" s="1"/>
  <c r="AK64" i="2"/>
  <c r="AC64" i="2"/>
  <c r="AJ64" i="2"/>
  <c r="AB64" i="2"/>
  <c r="AI64" i="2"/>
  <c r="AA64" i="2"/>
  <c r="AH64" i="2"/>
  <c r="Z64" i="2"/>
  <c r="AK65" i="2"/>
  <c r="AC65" i="2"/>
  <c r="J65" i="2"/>
  <c r="M65" i="2" s="1"/>
  <c r="AJ65" i="2"/>
  <c r="AB65" i="2"/>
  <c r="AI65" i="2"/>
  <c r="AA65" i="2"/>
  <c r="AH65" i="2"/>
  <c r="Z65" i="2"/>
  <c r="AG65" i="2"/>
  <c r="Y65" i="2"/>
  <c r="AF65" i="2"/>
  <c r="AE65" i="2"/>
  <c r="AD65" i="2"/>
  <c r="AI21" i="2"/>
  <c r="AA21" i="2"/>
  <c r="AH21" i="2"/>
  <c r="Z21" i="2"/>
  <c r="AG21" i="2"/>
  <c r="Y21" i="2"/>
  <c r="AF21" i="2"/>
  <c r="AE21" i="2"/>
  <c r="AD21" i="2"/>
  <c r="AC21" i="2"/>
  <c r="AK21" i="2"/>
  <c r="AB21" i="2"/>
  <c r="J21" i="2"/>
  <c r="X21" i="2" s="1"/>
  <c r="AJ21" i="2"/>
  <c r="K8" i="1"/>
  <c r="AI9" i="1"/>
  <c r="AA9" i="1"/>
  <c r="AH9" i="1"/>
  <c r="Z9" i="1"/>
  <c r="AE9" i="1"/>
  <c r="Y9" i="1"/>
  <c r="J9" i="1"/>
  <c r="P9" i="1" s="1"/>
  <c r="AK9" i="1"/>
  <c r="AC9" i="1"/>
  <c r="AJ9" i="1"/>
  <c r="AB9" i="1"/>
  <c r="AG9" i="1"/>
  <c r="AF9" i="1"/>
  <c r="AD9" i="1"/>
  <c r="S8" i="1" l="1"/>
  <c r="V8" i="1"/>
  <c r="N52" i="2"/>
  <c r="N58" i="2"/>
  <c r="K44" i="2"/>
  <c r="M47" i="2"/>
  <c r="X20" i="2"/>
  <c r="V20" i="2" s="1"/>
  <c r="L61" i="2"/>
  <c r="M44" i="2"/>
  <c r="X47" i="2"/>
  <c r="O27" i="2"/>
  <c r="L39" i="2"/>
  <c r="N47" i="2"/>
  <c r="M27" i="2"/>
  <c r="K57" i="2"/>
  <c r="K32" i="2"/>
  <c r="M50" i="2"/>
  <c r="O31" i="2"/>
  <c r="L44" i="2"/>
  <c r="O44" i="2"/>
  <c r="L52" i="2"/>
  <c r="O52" i="2"/>
  <c r="X44" i="2"/>
  <c r="V44" i="2" s="1"/>
  <c r="N65" i="2"/>
  <c r="N8" i="2"/>
  <c r="N24" i="2"/>
  <c r="L34" i="2"/>
  <c r="X22" i="2"/>
  <c r="K59" i="2"/>
  <c r="M17" i="2"/>
  <c r="K8" i="2"/>
  <c r="M22" i="2"/>
  <c r="N32" i="2"/>
  <c r="X17" i="2"/>
  <c r="V17" i="2" s="1"/>
  <c r="X29" i="2"/>
  <c r="AE9" i="2"/>
  <c r="J9" i="2"/>
  <c r="P9" i="2" s="1"/>
  <c r="AD9" i="2"/>
  <c r="AK9" i="2"/>
  <c r="AC9" i="2"/>
  <c r="AJ9" i="2"/>
  <c r="AB9" i="2"/>
  <c r="AI9" i="2"/>
  <c r="AA9" i="2"/>
  <c r="O9" i="2"/>
  <c r="AH9" i="2"/>
  <c r="Z9" i="2"/>
  <c r="AG9" i="2"/>
  <c r="Y9" i="2"/>
  <c r="AF9" i="2"/>
  <c r="L9" i="2"/>
  <c r="L21" i="2"/>
  <c r="N22" i="2"/>
  <c r="N27" i="2"/>
  <c r="X32" i="2"/>
  <c r="O32" i="2"/>
  <c r="L38" i="2"/>
  <c r="X26" i="2"/>
  <c r="X8" i="2"/>
  <c r="V8" i="2" s="1"/>
  <c r="O38" i="2"/>
  <c r="L8" i="2"/>
  <c r="M38" i="2"/>
  <c r="O8" i="2"/>
  <c r="L22" i="2"/>
  <c r="N61" i="2"/>
  <c r="M8" i="2"/>
  <c r="L17" i="2"/>
  <c r="L29" i="2"/>
  <c r="L47" i="2"/>
  <c r="M34" i="2"/>
  <c r="K35" i="2"/>
  <c r="X38" i="2"/>
  <c r="V38" i="2" s="1"/>
  <c r="O37" i="2"/>
  <c r="L31" i="2"/>
  <c r="V53" i="2"/>
  <c r="M35" i="2"/>
  <c r="X50" i="2"/>
  <c r="V50" i="2" s="1"/>
  <c r="N50" i="2"/>
  <c r="V25" i="2"/>
  <c r="X24" i="2"/>
  <c r="V24" i="2" s="1"/>
  <c r="K11" i="2"/>
  <c r="N17" i="2"/>
  <c r="N59" i="2"/>
  <c r="O26" i="2"/>
  <c r="X35" i="2"/>
  <c r="V35" i="2" s="1"/>
  <c r="L60" i="2"/>
  <c r="N34" i="2"/>
  <c r="M12" i="2"/>
  <c r="X60" i="2"/>
  <c r="X65" i="2"/>
  <c r="V65" i="2" s="1"/>
  <c r="O21" i="2"/>
  <c r="K17" i="2"/>
  <c r="O17" i="2"/>
  <c r="M13" i="2"/>
  <c r="M60" i="2"/>
  <c r="O29" i="2"/>
  <c r="N28" i="2"/>
  <c r="M26" i="2"/>
  <c r="O34" i="2"/>
  <c r="N13" i="2"/>
  <c r="X55" i="2"/>
  <c r="V55" i="2" s="1"/>
  <c r="N37" i="2"/>
  <c r="O64" i="2"/>
  <c r="N23" i="2"/>
  <c r="M16" i="2"/>
  <c r="V27" i="2"/>
  <c r="O11" i="2"/>
  <c r="O39" i="2"/>
  <c r="N57" i="2"/>
  <c r="M43" i="2"/>
  <c r="V26" i="2"/>
  <c r="N56" i="2"/>
  <c r="L40" i="2"/>
  <c r="N43" i="2"/>
  <c r="M64" i="2"/>
  <c r="L45" i="2"/>
  <c r="O55" i="2"/>
  <c r="L54" i="2"/>
  <c r="L11" i="2"/>
  <c r="X39" i="2"/>
  <c r="K33" i="2"/>
  <c r="O43" i="2"/>
  <c r="L37" i="2"/>
  <c r="L46" i="2"/>
  <c r="O46" i="2"/>
  <c r="M40" i="2"/>
  <c r="X40" i="2"/>
  <c r="V40" i="2" s="1"/>
  <c r="N18" i="2"/>
  <c r="V34" i="2"/>
  <c r="V13" i="2"/>
  <c r="M31" i="2"/>
  <c r="X46" i="2"/>
  <c r="V46" i="2" s="1"/>
  <c r="N35" i="2"/>
  <c r="M33" i="2"/>
  <c r="N40" i="2"/>
  <c r="V21" i="2"/>
  <c r="N45" i="2"/>
  <c r="M45" i="2"/>
  <c r="L55" i="2"/>
  <c r="L24" i="2"/>
  <c r="L30" i="2"/>
  <c r="N30" i="2"/>
  <c r="M37" i="2"/>
  <c r="M59" i="2"/>
  <c r="M49" i="2"/>
  <c r="X33" i="2"/>
  <c r="V33" i="2" s="1"/>
  <c r="K43" i="2"/>
  <c r="O45" i="2"/>
  <c r="M58" i="2"/>
  <c r="S10" i="2"/>
  <c r="N11" i="2"/>
  <c r="M57" i="2"/>
  <c r="X30" i="2"/>
  <c r="V30" i="2" s="1"/>
  <c r="V31" i="2"/>
  <c r="N31" i="2"/>
  <c r="M46" i="2"/>
  <c r="O11" i="1"/>
  <c r="K12" i="1"/>
  <c r="N12" i="1"/>
  <c r="L12" i="1"/>
  <c r="P25" i="2"/>
  <c r="K25" i="2"/>
  <c r="M10" i="1"/>
  <c r="P63" i="2"/>
  <c r="K63" i="2"/>
  <c r="P53" i="2"/>
  <c r="K53" i="2"/>
  <c r="V49" i="2"/>
  <c r="O62" i="2"/>
  <c r="L41" i="2"/>
  <c r="O51" i="2"/>
  <c r="N51" i="2"/>
  <c r="L9" i="1"/>
  <c r="M21" i="2"/>
  <c r="P64" i="2"/>
  <c r="K64" i="2"/>
  <c r="P52" i="2"/>
  <c r="K52" i="2"/>
  <c r="L15" i="2"/>
  <c r="O15" i="2"/>
  <c r="M55" i="2"/>
  <c r="X54" i="2"/>
  <c r="V54" i="2" s="1"/>
  <c r="N20" i="2"/>
  <c r="L32" i="2"/>
  <c r="O13" i="2"/>
  <c r="X57" i="2"/>
  <c r="V57" i="2" s="1"/>
  <c r="M12" i="1"/>
  <c r="K12" i="2"/>
  <c r="X59" i="2"/>
  <c r="V59" i="2" s="1"/>
  <c r="M48" i="2"/>
  <c r="P56" i="2"/>
  <c r="K56" i="2"/>
  <c r="N53" i="2"/>
  <c r="L36" i="2"/>
  <c r="P49" i="2"/>
  <c r="K49" i="2"/>
  <c r="P61" i="2"/>
  <c r="K61" i="2"/>
  <c r="O48" i="2"/>
  <c r="P41" i="2"/>
  <c r="K41" i="2"/>
  <c r="P27" i="2"/>
  <c r="K27" i="2"/>
  <c r="V32" i="2"/>
  <c r="P13" i="2"/>
  <c r="K13" i="2"/>
  <c r="N12" i="2"/>
  <c r="L14" i="2"/>
  <c r="L28" i="2"/>
  <c r="O28" i="2"/>
  <c r="L19" i="2"/>
  <c r="O19" i="2"/>
  <c r="K10" i="1"/>
  <c r="P11" i="1"/>
  <c r="K11" i="1"/>
  <c r="L63" i="2"/>
  <c r="O63" i="2"/>
  <c r="L56" i="2"/>
  <c r="O56" i="2"/>
  <c r="M36" i="2"/>
  <c r="N49" i="2"/>
  <c r="M62" i="2"/>
  <c r="M41" i="2"/>
  <c r="N33" i="2"/>
  <c r="N42" i="2"/>
  <c r="P18" i="2"/>
  <c r="K18" i="2"/>
  <c r="N19" i="2"/>
  <c r="V22" i="2"/>
  <c r="V52" i="2"/>
  <c r="V47" i="2"/>
  <c r="V29" i="2"/>
  <c r="L48" i="2"/>
  <c r="X41" i="2"/>
  <c r="V41" i="2" s="1"/>
  <c r="L51" i="2"/>
  <c r="N9" i="1"/>
  <c r="O25" i="2"/>
  <c r="L58" i="2"/>
  <c r="P24" i="2"/>
  <c r="K24" i="2"/>
  <c r="M24" i="2"/>
  <c r="P47" i="2"/>
  <c r="K47" i="2"/>
  <c r="O20" i="2"/>
  <c r="X43" i="2"/>
  <c r="V43" i="2" s="1"/>
  <c r="L12" i="2"/>
  <c r="P60" i="2"/>
  <c r="K60" i="2"/>
  <c r="P29" i="2"/>
  <c r="K29" i="2"/>
  <c r="X48" i="2"/>
  <c r="V48" i="2" s="1"/>
  <c r="N48" i="2"/>
  <c r="M28" i="2"/>
  <c r="N26" i="2"/>
  <c r="M19" i="2"/>
  <c r="O10" i="1"/>
  <c r="M11" i="1"/>
  <c r="M63" i="2"/>
  <c r="M56" i="2"/>
  <c r="L53" i="2"/>
  <c r="O53" i="2"/>
  <c r="O49" i="2"/>
  <c r="K37" i="2"/>
  <c r="P62" i="2"/>
  <c r="K62" i="2"/>
  <c r="P54" i="2"/>
  <c r="K54" i="2"/>
  <c r="N14" i="2"/>
  <c r="O36" i="2"/>
  <c r="P21" i="2"/>
  <c r="K21" i="2"/>
  <c r="L42" i="2"/>
  <c r="O42" i="2"/>
  <c r="X15" i="2"/>
  <c r="V15" i="2" s="1"/>
  <c r="O9" i="1"/>
  <c r="P23" i="2"/>
  <c r="K23" i="2"/>
  <c r="O16" i="2"/>
  <c r="N16" i="2"/>
  <c r="M54" i="2"/>
  <c r="X18" i="2"/>
  <c r="V18" i="2" s="1"/>
  <c r="X14" i="2"/>
  <c r="V14" i="2" s="1"/>
  <c r="X9" i="1"/>
  <c r="V9" i="1" s="1"/>
  <c r="N21" i="2"/>
  <c r="P65" i="2"/>
  <c r="K65" i="2"/>
  <c r="V45" i="2"/>
  <c r="L65" i="2"/>
  <c r="O65" i="2"/>
  <c r="X64" i="2"/>
  <c r="V64" i="2" s="1"/>
  <c r="X23" i="2"/>
  <c r="V23" i="2" s="1"/>
  <c r="O23" i="2"/>
  <c r="P22" i="2"/>
  <c r="K22" i="2"/>
  <c r="K28" i="2"/>
  <c r="P45" i="2"/>
  <c r="K45" i="2"/>
  <c r="M15" i="2"/>
  <c r="X58" i="2"/>
  <c r="V58" i="2" s="1"/>
  <c r="O58" i="2"/>
  <c r="M11" i="2"/>
  <c r="P39" i="2"/>
  <c r="K39" i="2"/>
  <c r="M39" i="2"/>
  <c r="M32" i="2"/>
  <c r="P38" i="2"/>
  <c r="K38" i="2"/>
  <c r="X12" i="1"/>
  <c r="V12" i="1" s="1"/>
  <c r="M30" i="2"/>
  <c r="X12" i="2"/>
  <c r="V12" i="2" s="1"/>
  <c r="O12" i="2"/>
  <c r="X37" i="2"/>
  <c r="V37" i="2" s="1"/>
  <c r="M14" i="2"/>
  <c r="O60" i="2"/>
  <c r="N44" i="2"/>
  <c r="T44" i="2" s="1"/>
  <c r="N29" i="2"/>
  <c r="X19" i="2"/>
  <c r="V19" i="2" s="1"/>
  <c r="L10" i="1"/>
  <c r="X11" i="1"/>
  <c r="V11" i="1" s="1"/>
  <c r="X63" i="2"/>
  <c r="V63" i="2" s="1"/>
  <c r="L49" i="2"/>
  <c r="M61" i="2"/>
  <c r="N62" i="2"/>
  <c r="N41" i="2"/>
  <c r="M51" i="2"/>
  <c r="L33" i="2"/>
  <c r="O33" i="2"/>
  <c r="K26" i="2"/>
  <c r="P42" i="2"/>
  <c r="K42" i="2"/>
  <c r="P36" i="2"/>
  <c r="K36" i="2"/>
  <c r="W8" i="1"/>
  <c r="C8" i="1" s="1"/>
  <c r="B18" i="1" s="1"/>
  <c r="O18" i="2"/>
  <c r="V60" i="2"/>
  <c r="N10" i="1"/>
  <c r="X42" i="2"/>
  <c r="V42" i="2" s="1"/>
  <c r="P16" i="2"/>
  <c r="K16" i="2"/>
  <c r="N25" i="2"/>
  <c r="K14" i="2"/>
  <c r="P55" i="2"/>
  <c r="K55" i="2"/>
  <c r="P20" i="2"/>
  <c r="K20" i="2"/>
  <c r="O12" i="1"/>
  <c r="O30" i="2"/>
  <c r="O14" i="2"/>
  <c r="X28" i="2"/>
  <c r="V28" i="2" s="1"/>
  <c r="V56" i="2"/>
  <c r="X36" i="2"/>
  <c r="V36" i="2" s="1"/>
  <c r="X62" i="2"/>
  <c r="V62" i="2" s="1"/>
  <c r="K19" i="2"/>
  <c r="L64" i="2"/>
  <c r="M52" i="2"/>
  <c r="L25" i="2"/>
  <c r="K9" i="1"/>
  <c r="M9" i="1"/>
  <c r="L23" i="2"/>
  <c r="X16" i="2"/>
  <c r="V16" i="2" s="1"/>
  <c r="W10" i="2"/>
  <c r="C10" i="2" s="1"/>
  <c r="K15" i="2"/>
  <c r="M25" i="2"/>
  <c r="N15" i="2"/>
  <c r="N54" i="2"/>
  <c r="P34" i="2"/>
  <c r="K34" i="2"/>
  <c r="L27" i="2"/>
  <c r="M20" i="2"/>
  <c r="X11" i="2"/>
  <c r="V11" i="2" s="1"/>
  <c r="V39" i="2"/>
  <c r="L13" i="2"/>
  <c r="L57" i="2"/>
  <c r="O57" i="2"/>
  <c r="K30" i="2"/>
  <c r="M18" i="2"/>
  <c r="L43" i="2"/>
  <c r="P31" i="2"/>
  <c r="K31" i="2"/>
  <c r="K48" i="2"/>
  <c r="L59" i="2"/>
  <c r="O59" i="2"/>
  <c r="L26" i="2"/>
  <c r="X10" i="1"/>
  <c r="V10" i="1" s="1"/>
  <c r="N11" i="1"/>
  <c r="M53" i="2"/>
  <c r="K51" i="2"/>
  <c r="X61" i="2"/>
  <c r="V61" i="2" s="1"/>
  <c r="X51" i="2"/>
  <c r="V51" i="2" s="1"/>
  <c r="N46" i="2"/>
  <c r="L35" i="2"/>
  <c r="O35" i="2"/>
  <c r="L50" i="2"/>
  <c r="O50" i="2"/>
  <c r="O40" i="2"/>
  <c r="K58" i="2"/>
  <c r="N9" i="2" l="1"/>
  <c r="X9" i="2"/>
  <c r="R47" i="2"/>
  <c r="S38" i="2"/>
  <c r="U61" i="2"/>
  <c r="R55" i="2"/>
  <c r="R57" i="2"/>
  <c r="S34" i="2"/>
  <c r="R11" i="2"/>
  <c r="S22" i="2"/>
  <c r="T40" i="2"/>
  <c r="W40" i="2" s="1"/>
  <c r="C40" i="2" s="1"/>
  <c r="R17" i="2"/>
  <c r="U47" i="2"/>
  <c r="R51" i="2"/>
  <c r="U37" i="2"/>
  <c r="S8" i="2"/>
  <c r="W8" i="2" s="1"/>
  <c r="C8" i="2" s="1"/>
  <c r="V9" i="2"/>
  <c r="U43" i="2"/>
  <c r="K9" i="2"/>
  <c r="M9" i="2"/>
  <c r="T9" i="2" s="1"/>
  <c r="U17" i="2"/>
  <c r="W17" i="2" s="1"/>
  <c r="C17" i="2" s="1"/>
  <c r="U51" i="2"/>
  <c r="W51" i="2" s="1"/>
  <c r="C51" i="2" s="1"/>
  <c r="R37" i="2"/>
  <c r="W37" i="2" s="1"/>
  <c r="C37" i="2" s="1"/>
  <c r="U11" i="2"/>
  <c r="W11" i="2" s="1"/>
  <c r="C11" i="2" s="1"/>
  <c r="R21" i="2"/>
  <c r="R19" i="2"/>
  <c r="T16" i="2"/>
  <c r="U35" i="2"/>
  <c r="S26" i="2"/>
  <c r="T20" i="2"/>
  <c r="W20" i="2" s="1"/>
  <c r="C20" i="2" s="1"/>
  <c r="T60" i="2"/>
  <c r="W60" i="2" s="1"/>
  <c r="C60" i="2" s="1"/>
  <c r="S46" i="2"/>
  <c r="S42" i="2"/>
  <c r="W42" i="2" s="1"/>
  <c r="C42" i="2" s="1"/>
  <c r="T32" i="2"/>
  <c r="W32" i="2" s="1"/>
  <c r="C32" i="2" s="1"/>
  <c r="T28" i="2"/>
  <c r="W28" i="2" s="1"/>
  <c r="C28" i="2" s="1"/>
  <c r="T12" i="2"/>
  <c r="W12" i="2" s="1"/>
  <c r="C12" i="2" s="1"/>
  <c r="U13" i="2"/>
  <c r="U59" i="2"/>
  <c r="U57" i="2"/>
  <c r="W57" i="2" s="1"/>
  <c r="C57" i="2" s="1"/>
  <c r="R27" i="2"/>
  <c r="R25" i="2"/>
  <c r="U39" i="2"/>
  <c r="R45" i="2"/>
  <c r="S50" i="2"/>
  <c r="W50" i="2" s="1"/>
  <c r="C50" i="2" s="1"/>
  <c r="R31" i="2"/>
  <c r="R33" i="2"/>
  <c r="W46" i="2"/>
  <c r="C46" i="2" s="1"/>
  <c r="S30" i="2"/>
  <c r="W30" i="2" s="1"/>
  <c r="C30" i="2" s="1"/>
  <c r="U49" i="2"/>
  <c r="R43" i="2"/>
  <c r="T52" i="2"/>
  <c r="W52" i="2" s="1"/>
  <c r="C52" i="2" s="1"/>
  <c r="R15" i="2"/>
  <c r="T64" i="2"/>
  <c r="W64" i="2" s="1"/>
  <c r="C64" i="2" s="1"/>
  <c r="W44" i="2"/>
  <c r="C44" i="2" s="1"/>
  <c r="S58" i="2"/>
  <c r="W58" i="2" s="1"/>
  <c r="C58" i="2" s="1"/>
  <c r="R23" i="2"/>
  <c r="T24" i="2"/>
  <c r="W24" i="2" s="1"/>
  <c r="C24" i="2" s="1"/>
  <c r="U11" i="1"/>
  <c r="R9" i="1"/>
  <c r="U21" i="2"/>
  <c r="W21" i="2" s="1"/>
  <c r="C21" i="2" s="1"/>
  <c r="R39" i="2"/>
  <c r="W22" i="2"/>
  <c r="C22" i="2" s="1"/>
  <c r="T56" i="2"/>
  <c r="W56" i="2" s="1"/>
  <c r="C56" i="2" s="1"/>
  <c r="S54" i="2"/>
  <c r="W54" i="2" s="1"/>
  <c r="C54" i="2" s="1"/>
  <c r="G54" i="2" s="1"/>
  <c r="U63" i="2"/>
  <c r="U27" i="2"/>
  <c r="R61" i="2"/>
  <c r="T48" i="2"/>
  <c r="W48" i="2" s="1"/>
  <c r="C48" i="2" s="1"/>
  <c r="T36" i="2"/>
  <c r="W36" i="2" s="1"/>
  <c r="C36" i="2" s="1"/>
  <c r="U9" i="1"/>
  <c r="R29" i="2"/>
  <c r="U45" i="2"/>
  <c r="R41" i="2"/>
  <c r="R53" i="2"/>
  <c r="U33" i="2"/>
  <c r="R35" i="2"/>
  <c r="R59" i="2"/>
  <c r="R13" i="2"/>
  <c r="R49" i="2"/>
  <c r="U53" i="2"/>
  <c r="W38" i="2"/>
  <c r="C38" i="2" s="1"/>
  <c r="R65" i="2"/>
  <c r="U65" i="2"/>
  <c r="S14" i="2"/>
  <c r="W14" i="2" s="1"/>
  <c r="C14" i="2" s="1"/>
  <c r="U15" i="2"/>
  <c r="U19" i="2"/>
  <c r="W19" i="2" s="1"/>
  <c r="C19" i="2" s="1"/>
  <c r="U41" i="2"/>
  <c r="U29" i="2"/>
  <c r="S12" i="1"/>
  <c r="W12" i="1" s="1"/>
  <c r="C12" i="1" s="1"/>
  <c r="R63" i="2"/>
  <c r="W34" i="2"/>
  <c r="C34" i="2" s="1"/>
  <c r="S18" i="2"/>
  <c r="W18" i="2" s="1"/>
  <c r="C18" i="2" s="1"/>
  <c r="U25" i="2"/>
  <c r="W16" i="2"/>
  <c r="C16" i="2" s="1"/>
  <c r="W26" i="2"/>
  <c r="C26" i="2" s="1"/>
  <c r="U31" i="2"/>
  <c r="S62" i="2"/>
  <c r="W62" i="2" s="1"/>
  <c r="C62" i="2" s="1"/>
  <c r="R11" i="1"/>
  <c r="U55" i="2"/>
  <c r="W55" i="2" s="1"/>
  <c r="C55" i="2" s="1"/>
  <c r="T10" i="1"/>
  <c r="W10" i="1" s="1"/>
  <c r="C10" i="1" s="1"/>
  <c r="B22" i="1" s="1"/>
  <c r="U23" i="2"/>
  <c r="W23" i="2" s="1"/>
  <c r="C23" i="2" s="1"/>
  <c r="W61" i="2" l="1"/>
  <c r="C61" i="2" s="1"/>
  <c r="G50" i="2"/>
  <c r="G46" i="2"/>
  <c r="W33" i="2"/>
  <c r="C33" i="2" s="1"/>
  <c r="W41" i="2"/>
  <c r="C41" i="2" s="1"/>
  <c r="W27" i="2"/>
  <c r="C27" i="2" s="1"/>
  <c r="W47" i="2"/>
  <c r="C47" i="2" s="1"/>
  <c r="W43" i="2"/>
  <c r="C43" i="2" s="1"/>
  <c r="W31" i="2"/>
  <c r="C31" i="2" s="1"/>
  <c r="W25" i="2"/>
  <c r="C25" i="2" s="1"/>
  <c r="W65" i="2"/>
  <c r="C65" i="2" s="1"/>
  <c r="W59" i="2"/>
  <c r="C59" i="2" s="1"/>
  <c r="W9" i="2"/>
  <c r="C9" i="2" s="1"/>
  <c r="W49" i="2"/>
  <c r="C49" i="2" s="1"/>
  <c r="W45" i="2"/>
  <c r="C45" i="2" s="1"/>
  <c r="W15" i="2"/>
  <c r="C15" i="2" s="1"/>
  <c r="W13" i="2"/>
  <c r="C13" i="2" s="1"/>
  <c r="W35" i="2"/>
  <c r="C35" i="2" s="1"/>
  <c r="G58" i="2"/>
  <c r="W53" i="2"/>
  <c r="C53" i="2" s="1"/>
  <c r="G30" i="2"/>
  <c r="W63" i="2"/>
  <c r="C63" i="2" s="1"/>
  <c r="W39" i="2"/>
  <c r="C39" i="2" s="1"/>
  <c r="W29" i="2"/>
  <c r="C29" i="2" s="1"/>
  <c r="G62" i="2"/>
  <c r="G34" i="2"/>
  <c r="W9" i="1"/>
  <c r="C9" i="1" s="1"/>
  <c r="B20" i="1" s="1"/>
  <c r="D19" i="1" s="1"/>
  <c r="W11" i="1"/>
  <c r="C11" i="1" s="1"/>
  <c r="B24" i="1" s="1"/>
  <c r="D23" i="1" s="1"/>
  <c r="G18" i="2"/>
  <c r="F20" i="1"/>
  <c r="G14" i="2"/>
  <c r="G22" i="2"/>
  <c r="B26" i="1"/>
  <c r="G12" i="1"/>
  <c r="G7" i="1" s="1"/>
  <c r="G38" i="2"/>
  <c r="G26" i="2"/>
  <c r="G42" i="2"/>
  <c r="D21" i="1" l="1"/>
  <c r="G7" i="2"/>
  <c r="D25" i="1"/>
  <c r="F24" i="1"/>
  <c r="F28" i="1" s="1"/>
  <c r="D28" i="1" l="1"/>
</calcChain>
</file>

<file path=xl/comments1.xml><?xml version="1.0" encoding="utf-8"?>
<comments xmlns="http://schemas.openxmlformats.org/spreadsheetml/2006/main">
  <authors>
    <author>tc={7A2E25FF-5CC5-437D-B2FB-5B96A33BE21E}</author>
    <author>tc={7452C93E-D4EE-43C3-A5F9-59CD34D8FC53}</author>
  </authors>
  <commentList>
    <comment ref="C4" authorId="0">
      <text>
        <r>
          <rPr>
            <sz val="10"/>
            <color rgb="FF000000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Berechnet mit Zeitangaben aus Wikipedia.
(Quelle: https://de.wikipedia.org/wiki/Lunation)</t>
        </r>
      </text>
    </comment>
    <comment ref="D4" authorId="1">
      <text>
        <r>
          <rPr>
            <sz val="10"/>
            <color rgb="FF000000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Zahlen aus dem Buch.</t>
        </r>
      </text>
    </comment>
  </commentList>
</comments>
</file>

<file path=xl/sharedStrings.xml><?xml version="1.0" encoding="utf-8"?>
<sst xmlns="http://schemas.openxmlformats.org/spreadsheetml/2006/main" count="399" uniqueCount="107">
  <si>
    <t>Tage pro Sonnenjahr</t>
  </si>
  <si>
    <t>Differenz zwischen den Neumondphasen (Lunation)</t>
  </si>
  <si>
    <t>Mondphasen</t>
  </si>
  <si>
    <t>Integerwert von k liefert Neumond</t>
  </si>
  <si>
    <t>Zeit in Julianischen Jh seit 2000</t>
  </si>
  <si>
    <t>Julianische Ephemeridentage</t>
  </si>
  <si>
    <t>Mittlere Anomalie der Sonne zur Zeit JDE</t>
  </si>
  <si>
    <t>Mittlere Anomalie des Mondes</t>
  </si>
  <si>
    <t>Argument der Breite des Mondes</t>
  </si>
  <si>
    <t>Länge des aufsteigenden Knoten</t>
  </si>
  <si>
    <t>Exzentrizität der Erdbahn</t>
  </si>
  <si>
    <t>Phase</t>
  </si>
  <si>
    <t>Korrektur für die Viertelphasen</t>
  </si>
  <si>
    <t>Korrektur Neumond</t>
  </si>
  <si>
    <t>Korrektur Vollmond</t>
  </si>
  <si>
    <t>Korrektur erstes und letztes Viertel</t>
  </si>
  <si>
    <t>Argumente der Planeten</t>
  </si>
  <si>
    <t>Tage synodischer Monat</t>
  </si>
  <si>
    <t>Monate im Sonnenjahr</t>
  </si>
  <si>
    <t>berechnet</t>
  </si>
  <si>
    <t>fix</t>
  </si>
  <si>
    <t>Jul. Datum für den</t>
  </si>
  <si>
    <t>P</t>
  </si>
  <si>
    <t>k</t>
  </si>
  <si>
    <t>T</t>
  </si>
  <si>
    <t>JDE</t>
  </si>
  <si>
    <t>M</t>
  </si>
  <si>
    <t>M'</t>
  </si>
  <si>
    <t>F</t>
  </si>
  <si>
    <t>O</t>
  </si>
  <si>
    <t>E</t>
  </si>
  <si>
    <t>W</t>
  </si>
  <si>
    <t>A</t>
  </si>
  <si>
    <t>JDE_korr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</si>
  <si>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</si>
  <si>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</si>
  <si>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</si>
  <si>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</si>
  <si>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</si>
  <si>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</si>
  <si>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</si>
  <si>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</si>
  <si>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</si>
  <si>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</si>
  <si>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</si>
  <si>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</si>
  <si>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</si>
  <si>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</si>
  <si>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new</t>
  </si>
  <si>
    <t>●</t>
  </si>
  <si>
    <t>.</t>
  </si>
  <si>
    <t>wax</t>
  </si>
  <si>
    <t>◐</t>
  </si>
  <si>
    <t>full</t>
  </si>
  <si>
    <t>○</t>
  </si>
  <si>
    <t>wane</t>
  </si>
  <si>
    <t>◑</t>
  </si>
  <si>
    <t>Datum:</t>
  </si>
  <si>
    <t>Zeitzone:</t>
  </si>
  <si>
    <t>UTC (GMT) = 0</t>
  </si>
  <si>
    <t>MEZ = UTC +1h</t>
  </si>
  <si>
    <t>MESZ = UTC +2h</t>
  </si>
  <si>
    <t>Delta zum 1.1.2000</t>
  </si>
  <si>
    <t>Tage.</t>
  </si>
  <si>
    <t>Dies sind</t>
  </si>
  <si>
    <t>Jahre.</t>
  </si>
  <si>
    <t>Daraus bestimmt sich K Integer (rel. zu 01.01.2000):</t>
  </si>
  <si>
    <t>Neumond</t>
  </si>
  <si>
    <t>Grundlage für die Berechnungen:</t>
  </si>
  <si>
    <t>Jean Meeus - Astronomical Algorithms</t>
  </si>
  <si>
    <t>Erstes Viertel</t>
  </si>
  <si>
    <t>Kapitel 47: Phases of the Moon</t>
  </si>
  <si>
    <t>Vollmond</t>
  </si>
  <si>
    <t>Letztes Viertel</t>
  </si>
  <si>
    <t>Lunation (Neumond zu Neumond)</t>
  </si>
  <si>
    <t>Jahr</t>
  </si>
  <si>
    <t>Prozente</t>
  </si>
  <si>
    <t>neu</t>
  </si>
  <si>
    <t>1st</t>
  </si>
  <si>
    <t>voll</t>
  </si>
  <si>
    <t>last</t>
  </si>
  <si>
    <t>Elke</t>
  </si>
  <si>
    <t>spät</t>
  </si>
  <si>
    <t>Mond</t>
  </si>
  <si>
    <t>Sonne</t>
  </si>
  <si>
    <t>hoch Ausatmer</t>
  </si>
  <si>
    <t>Zinaida</t>
  </si>
  <si>
    <t>früh</t>
  </si>
  <si>
    <t>hoch Einatmer</t>
  </si>
  <si>
    <t>Katja</t>
  </si>
  <si>
    <t>Ausatmer</t>
  </si>
  <si>
    <t>1. Hälfte</t>
  </si>
  <si>
    <t>2. Hälfte</t>
  </si>
  <si>
    <t>mind 1 Anteil &gt; 75%</t>
  </si>
  <si>
    <t>Diff [%]</t>
  </si>
  <si>
    <t>Mondteil größer</t>
  </si>
  <si>
    <t>Sol Teil größer</t>
  </si>
  <si>
    <t>Dr. Elke Andersson, Juni 2023</t>
  </si>
  <si>
    <t>William-Bell.Inc, Richmond/Virginia, USA 1991</t>
  </si>
  <si>
    <t>Leipzig, Berlin Heidelberg 1994</t>
  </si>
  <si>
    <t>Vielen Dank an Ingo Mennerich für die Inspiration und Idee.</t>
  </si>
  <si>
    <t>Die Exceldatei kann frei herunter geladen und weiter bearbeitet werden, mit Angabe</t>
  </si>
  <si>
    <t>Hannover oder direkt an ea(dot)news(at)gmx(dot)de.</t>
  </si>
  <si>
    <t>der Quelle(n) und gerne mit einer Rückmeldung über das Schulbiologiezentrum</t>
  </si>
  <si>
    <t xml:space="preserve">Die Ergebnisse können, verglichen mit offiziellen Quellen </t>
  </si>
  <si>
    <t>(http://astropixels.com/ephemeris/moon/phases2001gmt.html) leichte Abweichungen</t>
  </si>
  <si>
    <t>zeigen.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</si>
</sst>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d/mm/yy\ hh:mm"/>
    <numFmt numFmtId="166" formatCode="dd/mm/yyyy\ h:mm:ss"/>
    <numFmt numFmtId="167" formatCode="dd/mm/yy\ hh:mm:ss"/>
  </numFmts>
  <fonts count="16">
    <font>
      <sz val="10"/>
      <color rgb="FF000000"/>
      <name val="Arial"/>
      <family val="2"/>
    </font>
    <font>
      <sz val="12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10"/>
      <color rgb="FF000000"/>
      <name val="바탕"/>
    </font>
    <font>
      <sz val="10"/>
      <color rgb="FF000000"/>
      <name val="Courier New"/>
      <family val="3"/>
    </font>
    <font>
      <sz val="10"/>
      <color rgb="FF000000"/>
      <name val="Arial"/>
      <family val="2"/>
    </font>
    <font>
      <sz val="8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sz val="9"/>
      <color rgb="FF000000"/>
      <name val="Courier New"/>
      <family val="3"/>
    </font>
    <font>
      <sz val="11"/>
      <color rgb="FF1515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FFE0"/>
        <bgColor rgb="FFFFFFFF"/>
      </patternFill>
    </fill>
    <fill>
      <patternFill patternType="solid">
        <fgColor rgb="FFE0FFE0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9" fillId="2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14" fontId="5" fillId="0" borderId="0" xfId="0" applyNumberFormat="1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65" fontId="11" fillId="4" borderId="5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6" fontId="7" fillId="0" borderId="0" xfId="0" applyNumberFormat="1" applyFont="1" applyAlignment="1" applyProtection="1">
      <alignment horizontal="left"/>
      <protection hidden="1"/>
    </xf>
    <xf numFmtId="167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14" fontId="0" fillId="0" borderId="0" xfId="0" applyNumberFormat="1"/>
    <xf numFmtId="20" fontId="0" fillId="0" borderId="0" xfId="0" applyNumberFormat="1"/>
    <xf numFmtId="0" fontId="15" fillId="0" borderId="0" xfId="0" applyFont="1"/>
    <xf numFmtId="0" fontId="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5" borderId="8" xfId="0" applyFont="1" applyFill="1" applyBorder="1" applyAlignment="1" applyProtection="1">
      <alignment horizontal="center"/>
      <protection hidden="1"/>
    </xf>
    <xf numFmtId="0" fontId="2" fillId="5" borderId="9" xfId="0" applyFont="1" applyFill="1" applyBorder="1" applyAlignment="1" applyProtection="1">
      <alignment horizontal="center"/>
      <protection hidden="1"/>
    </xf>
    <xf numFmtId="17" fontId="2" fillId="5" borderId="10" xfId="0" applyNumberFormat="1" applyFont="1" applyFill="1" applyBorder="1" applyProtection="1"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5" borderId="10" xfId="0" applyFont="1" applyFill="1" applyBorder="1" applyProtection="1"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/>
    <xf numFmtId="0" fontId="13" fillId="5" borderId="10" xfId="0" applyFont="1" applyFill="1" applyBorder="1" applyAlignment="1">
      <alignment horizontal="left"/>
    </xf>
    <xf numFmtId="0" fontId="13" fillId="5" borderId="10" xfId="0" applyFont="1" applyFill="1" applyBorder="1"/>
    <xf numFmtId="0" fontId="2" fillId="5" borderId="13" xfId="0" applyFont="1" applyFill="1" applyBorder="1" applyAlignment="1" applyProtection="1">
      <alignment horizontal="center"/>
      <protection hidden="1"/>
    </xf>
    <xf numFmtId="0" fontId="2" fillId="5" borderId="14" xfId="0" applyFont="1" applyFill="1" applyBorder="1" applyAlignment="1" applyProtection="1">
      <alignment horizontal="center"/>
      <protection hidden="1"/>
    </xf>
    <xf numFmtId="0" fontId="3" fillId="5" borderId="7" xfId="0" applyFont="1" applyFill="1" applyBorder="1" applyProtection="1">
      <protection hidden="1"/>
    </xf>
    <xf numFmtId="0" fontId="5" fillId="5" borderId="10" xfId="0" applyFont="1" applyFill="1" applyBorder="1" applyAlignment="1" applyProtection="1">
      <alignment horizontal="left"/>
      <protection hidden="1"/>
    </xf>
    <xf numFmtId="0" fontId="2" fillId="5" borderId="12" xfId="0" applyFont="1" applyFill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textRotation="90" wrapText="1"/>
      <protection hidden="1"/>
      <extLst>
        <ext uri="smNativeData">
          <pm:cellMargin xmlns:pm="smNativeData" id="1686419768" l="0" r="0" t="0" b="0" textRotation="3"/>
        </ext>
      </extLst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4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 applyProtection="1">
      <alignment horizontal="left"/>
      <protection hidden="1"/>
    </xf>
  </cellXfs>
  <cellStyles count="1">
    <cellStyle name="Standard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86419768" count="1">
        <pm:charStyle name="Normal" fontId="0"/>
      </pm:charStyles>
      <pm:colors xmlns:pm="smNativeData" id="1686419768" count="15">
        <pm:color name="Farbe 26" rgb="CCFFFF"/>
        <pm:color name="Farbe 25" rgb="018001"/>
        <pm:color name="Farbe 26" rgb="00A300"/>
        <pm:color name="Farbe 27" rgb="00D100"/>
        <pm:color name="Farbe 28" rgb="3DFF3D"/>
        <pm:color name="Farbe 29" rgb="5CFF5C"/>
        <pm:color name="Farbe 30" rgb="9EFF9E"/>
        <pm:color name="Farbe 31" rgb="E0FFE0"/>
        <pm:color name="Farbe 32" rgb="E0FFFF"/>
        <pm:color name="Farbe 33" rgb="9EFFFF"/>
        <pm:color name="Farbe 34" rgb="E0E0FF"/>
        <pm:color name="Farbe 35" rgb="FFE0FF"/>
        <pm:color name="Farbe 36" rgb="F0F0E0"/>
        <pm:color name="Farbe 37" rgb="CECE9E"/>
        <pm:color name="Farbe 38" rgb="D9D9D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Mond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'Mondphasen (Jahr)'!$C$8:$C$65</c:f>
              <c:numCache>
                <c:formatCode>dd/mm/yy\ hh:mm:ss</c:formatCode>
                <c:ptCount val="58"/>
                <c:pt idx="0">
                  <c:v>44888.957227292936</c:v>
                </c:pt>
                <c:pt idx="1">
                  <c:v>44903.173234461807</c:v>
                </c:pt>
                <c:pt idx="2">
                  <c:v>44918.429232956376</c:v>
                </c:pt>
                <c:pt idx="3">
                  <c:v>44925.056863516103</c:v>
                </c:pt>
                <c:pt idx="4">
                  <c:v>44932.964771042578</c:v>
                </c:pt>
                <c:pt idx="5">
                  <c:v>44941.091443458572</c:v>
                </c:pt>
                <c:pt idx="6">
                  <c:v>44947.871163546573</c:v>
                </c:pt>
                <c:pt idx="7">
                  <c:v>44954.638971900567</c:v>
                </c:pt>
                <c:pt idx="8">
                  <c:v>44962.770800661761</c:v>
                </c:pt>
                <c:pt idx="9">
                  <c:v>44970.6680760975</c:v>
                </c:pt>
                <c:pt idx="10">
                  <c:v>44977.296554942615</c:v>
                </c:pt>
                <c:pt idx="11">
                  <c:v>44984.338145468384</c:v>
                </c:pt>
                <c:pt idx="12">
                  <c:v>44992.528968110681</c:v>
                </c:pt>
                <c:pt idx="13">
                  <c:v>45000.089990485925</c:v>
                </c:pt>
                <c:pt idx="14">
                  <c:v>45006.725246062502</c:v>
                </c:pt>
                <c:pt idx="15">
                  <c:v>45014.106727323961</c:v>
                </c:pt>
                <c:pt idx="16">
                  <c:v>45022.191547221038</c:v>
                </c:pt>
                <c:pt idx="17">
                  <c:v>45029.383823685348</c:v>
                </c:pt>
                <c:pt idx="18">
                  <c:v>45036.17621154245</c:v>
                </c:pt>
                <c:pt idx="19">
                  <c:v>45043.889663559385</c:v>
                </c:pt>
                <c:pt idx="20">
                  <c:v>45051.732847535983</c:v>
                </c:pt>
                <c:pt idx="21">
                  <c:v>45058.603850926738</c:v>
                </c:pt>
                <c:pt idx="22">
                  <c:v>45065.662822291255</c:v>
                </c:pt>
                <c:pt idx="23">
                  <c:v>45073.641217778903</c:v>
                </c:pt>
                <c:pt idx="24">
                  <c:v>45081.154826465528</c:v>
                </c:pt>
                <c:pt idx="25">
                  <c:v>45087.814327563159</c:v>
                </c:pt>
                <c:pt idx="26">
                  <c:v>45095.193296387326</c:v>
                </c:pt>
                <c:pt idx="27">
                  <c:v>45103.326988248155</c:v>
                </c:pt>
                <c:pt idx="28">
                  <c:v>45110.486025670078</c:v>
                </c:pt>
                <c:pt idx="29">
                  <c:v>45117.075783660635</c:v>
                </c:pt>
                <c:pt idx="30">
                  <c:v>45124.772926279344</c:v>
                </c:pt>
                <c:pt idx="31">
                  <c:v>45132.922234335914</c:v>
                </c:pt>
                <c:pt idx="32">
                  <c:v>45139.772764325142</c:v>
                </c:pt>
                <c:pt idx="33">
                  <c:v>45146.437240193132</c:v>
                </c:pt>
                <c:pt idx="34">
                  <c:v>45154.402339632623</c:v>
                </c:pt>
                <c:pt idx="35">
                  <c:v>45162.415640272666</c:v>
                </c:pt>
                <c:pt idx="36">
                  <c:v>45169.067204277497</c:v>
                </c:pt>
                <c:pt idx="37">
                  <c:v>45175.932178379968</c:v>
                </c:pt>
                <c:pt idx="38">
                  <c:v>45184.070201668888</c:v>
                </c:pt>
                <c:pt idx="39">
                  <c:v>45191.814661243465</c:v>
                </c:pt>
                <c:pt idx="40">
                  <c:v>45198.415842201095</c:v>
                </c:pt>
                <c:pt idx="41">
                  <c:v>45205.575687907636</c:v>
                </c:pt>
                <c:pt idx="42">
                  <c:v>45213.747540032957</c:v>
                </c:pt>
                <c:pt idx="43">
                  <c:v>45221.146349915303</c:v>
                </c:pt>
                <c:pt idx="44">
                  <c:v>45227.850918116979</c:v>
                </c:pt>
                <c:pt idx="45">
                  <c:v>45235.359760646708</c:v>
                </c:pt>
                <c:pt idx="46">
                  <c:v>45243.39488308318</c:v>
                </c:pt>
                <c:pt idx="47">
                  <c:v>45250.452201708686</c:v>
                </c:pt>
                <c:pt idx="48">
                  <c:v>45257.387175618671</c:v>
                </c:pt>
                <c:pt idx="49">
                  <c:v>45265.243424935266</c:v>
                </c:pt>
                <c:pt idx="50">
                  <c:v>45272.981424284633</c:v>
                </c:pt>
                <c:pt idx="51">
                  <c:v>45279.778145986143</c:v>
                </c:pt>
                <c:pt idx="52">
                  <c:v>45287.023924588691</c:v>
                </c:pt>
                <c:pt idx="53">
                  <c:v>45295.146996416152</c:v>
                </c:pt>
                <c:pt idx="54">
                  <c:v>45302.499045821372</c:v>
                </c:pt>
                <c:pt idx="55">
                  <c:v>45309.162409157958</c:v>
                </c:pt>
                <c:pt idx="56">
                  <c:v>45316.746708429884</c:v>
                </c:pt>
                <c:pt idx="57">
                  <c:v>45324.971728719771</c:v>
                </c:pt>
              </c:numCache>
            </c:numRef>
          </c:xVal>
          <c:yVal>
            <c:numRef>
              <c:f>'Mondphasen (Jahr)'!$F$8:$F$65</c:f>
              <c:numCache>
                <c:formatCode>General</c:formatCode>
                <c:ptCount val="58"/>
                <c:pt idx="0">
                  <c:v>1</c:v>
                </c:pt>
                <c:pt idx="1">
                  <c:v>99</c:v>
                </c:pt>
                <c:pt idx="2">
                  <c:v>1</c:v>
                </c:pt>
                <c:pt idx="3">
                  <c:v>50</c:v>
                </c:pt>
                <c:pt idx="4">
                  <c:v>99</c:v>
                </c:pt>
                <c:pt idx="5">
                  <c:v>50</c:v>
                </c:pt>
                <c:pt idx="6">
                  <c:v>1</c:v>
                </c:pt>
                <c:pt idx="7">
                  <c:v>50</c:v>
                </c:pt>
                <c:pt idx="8">
                  <c:v>99</c:v>
                </c:pt>
                <c:pt idx="9">
                  <c:v>50</c:v>
                </c:pt>
                <c:pt idx="10">
                  <c:v>1</c:v>
                </c:pt>
                <c:pt idx="11">
                  <c:v>50</c:v>
                </c:pt>
                <c:pt idx="12">
                  <c:v>99</c:v>
                </c:pt>
                <c:pt idx="13">
                  <c:v>50</c:v>
                </c:pt>
                <c:pt idx="14">
                  <c:v>1</c:v>
                </c:pt>
                <c:pt idx="15">
                  <c:v>50</c:v>
                </c:pt>
                <c:pt idx="16">
                  <c:v>99</c:v>
                </c:pt>
                <c:pt idx="17">
                  <c:v>50</c:v>
                </c:pt>
                <c:pt idx="18">
                  <c:v>1</c:v>
                </c:pt>
                <c:pt idx="19">
                  <c:v>50</c:v>
                </c:pt>
                <c:pt idx="20">
                  <c:v>99</c:v>
                </c:pt>
                <c:pt idx="21">
                  <c:v>50</c:v>
                </c:pt>
                <c:pt idx="22">
                  <c:v>1</c:v>
                </c:pt>
                <c:pt idx="23">
                  <c:v>50</c:v>
                </c:pt>
                <c:pt idx="24">
                  <c:v>99</c:v>
                </c:pt>
                <c:pt idx="25">
                  <c:v>50</c:v>
                </c:pt>
                <c:pt idx="26">
                  <c:v>1</c:v>
                </c:pt>
                <c:pt idx="27">
                  <c:v>50</c:v>
                </c:pt>
                <c:pt idx="28">
                  <c:v>99</c:v>
                </c:pt>
                <c:pt idx="29">
                  <c:v>50</c:v>
                </c:pt>
                <c:pt idx="30">
                  <c:v>1</c:v>
                </c:pt>
                <c:pt idx="31">
                  <c:v>50</c:v>
                </c:pt>
                <c:pt idx="32">
                  <c:v>99</c:v>
                </c:pt>
                <c:pt idx="33">
                  <c:v>50</c:v>
                </c:pt>
                <c:pt idx="34">
                  <c:v>1</c:v>
                </c:pt>
                <c:pt idx="35">
                  <c:v>50</c:v>
                </c:pt>
                <c:pt idx="36">
                  <c:v>99</c:v>
                </c:pt>
                <c:pt idx="37">
                  <c:v>50</c:v>
                </c:pt>
                <c:pt idx="38">
                  <c:v>1</c:v>
                </c:pt>
                <c:pt idx="39">
                  <c:v>50</c:v>
                </c:pt>
                <c:pt idx="40">
                  <c:v>99</c:v>
                </c:pt>
                <c:pt idx="41">
                  <c:v>50</c:v>
                </c:pt>
                <c:pt idx="42">
                  <c:v>1</c:v>
                </c:pt>
                <c:pt idx="43">
                  <c:v>50</c:v>
                </c:pt>
                <c:pt idx="44">
                  <c:v>99</c:v>
                </c:pt>
                <c:pt idx="45">
                  <c:v>50</c:v>
                </c:pt>
                <c:pt idx="46">
                  <c:v>1</c:v>
                </c:pt>
                <c:pt idx="47">
                  <c:v>50</c:v>
                </c:pt>
                <c:pt idx="48">
                  <c:v>99</c:v>
                </c:pt>
                <c:pt idx="49">
                  <c:v>50</c:v>
                </c:pt>
                <c:pt idx="50">
                  <c:v>1</c:v>
                </c:pt>
                <c:pt idx="51">
                  <c:v>50</c:v>
                </c:pt>
                <c:pt idx="52">
                  <c:v>99</c:v>
                </c:pt>
                <c:pt idx="53">
                  <c:v>50</c:v>
                </c:pt>
                <c:pt idx="54">
                  <c:v>1</c:v>
                </c:pt>
                <c:pt idx="55">
                  <c:v>50</c:v>
                </c:pt>
                <c:pt idx="56">
                  <c:v>99</c:v>
                </c:pt>
                <c:pt idx="57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E4-480F-B4F1-F1D31CD99C22}"/>
            </c:ext>
          </c:extLst>
        </c:ser>
        <c:ser>
          <c:idx val="1"/>
          <c:order val="1"/>
          <c:tx>
            <c:v>Sonne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'Mondphasen (Jahr)'!$R$68:$R$72</c:f>
              <c:numCache>
                <c:formatCode>m/d/yyyy</c:formatCode>
                <c:ptCount val="5"/>
                <c:pt idx="0">
                  <c:v>26105</c:v>
                </c:pt>
                <c:pt idx="1">
                  <c:v>26288</c:v>
                </c:pt>
                <c:pt idx="2">
                  <c:v>26471</c:v>
                </c:pt>
                <c:pt idx="3">
                  <c:v>26654</c:v>
                </c:pt>
                <c:pt idx="4">
                  <c:v>26836</c:v>
                </c:pt>
              </c:numCache>
            </c:numRef>
          </c:xVal>
          <c:yVal>
            <c:numRef>
              <c:f>'Mondphasen (Jahr)'!$T$68:$T$72</c:f>
              <c:numCache>
                <c:formatCode>General</c:formatCode>
                <c:ptCount val="5"/>
                <c:pt idx="0">
                  <c:v>99</c:v>
                </c:pt>
                <c:pt idx="1">
                  <c:v>1</c:v>
                </c:pt>
                <c:pt idx="2">
                  <c:v>99</c:v>
                </c:pt>
                <c:pt idx="3">
                  <c:v>1</c:v>
                </c:pt>
                <c:pt idx="4">
                  <c:v>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E4-480F-B4F1-F1D31CD99C22}"/>
            </c:ext>
          </c:extLst>
        </c:ser>
        <c:ser>
          <c:idx val="2"/>
          <c:order val="2"/>
          <c:tx>
            <c:v>Aktuelle Position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'Mondphasen (Jahr)'!$R$74:$R$75</c:f>
              <c:numCache>
                <c:formatCode>m/d/yyyy</c:formatCode>
                <c:ptCount val="2"/>
                <c:pt idx="0">
                  <c:v>44927</c:v>
                </c:pt>
                <c:pt idx="1">
                  <c:v>44927</c:v>
                </c:pt>
              </c:numCache>
            </c:numRef>
          </c:xVal>
          <c:yVal>
            <c:numRef>
              <c:f>'Mondphasen (Jahr)'!$T$74:$T$75</c:f>
              <c:numCache>
                <c:formatCode>General</c:formatCode>
                <c:ptCount val="2"/>
                <c:pt idx="0">
                  <c:v>1</c:v>
                </c:pt>
                <c:pt idx="1">
                  <c:v>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E4-480F-B4F1-F1D31CD99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03616"/>
        <c:axId val="65905408"/>
      </c:scatterChart>
      <c:valAx>
        <c:axId val="65903616"/>
        <c:scaling>
          <c:orientation val="minMax"/>
          <c:max val="26664"/>
          <c:min val="2626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05408"/>
        <c:crosses val="autoZero"/>
        <c:crossBetween val="midCat"/>
        <c:majorUnit val="30"/>
      </c:valAx>
      <c:valAx>
        <c:axId val="65905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0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318770</xdr:colOff>
      <xdr:row>17</xdr:row>
      <xdr:rowOff>0</xdr:rowOff>
    </xdr:from>
    <xdr:to>
      <xdr:col>0</xdr:col>
      <xdr:colOff>620395</xdr:colOff>
      <xdr:row>26</xdr:row>
      <xdr:rowOff>60325</xdr:rowOff>
    </xdr:to>
    <xdr:grpSp>
      <xdr:nvGrpSpPr>
        <xdr:cNvPr id="2" name="Gruppe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extLst>
            <a:ext uri="smNativeData">
              <pm:smNativeData xmlns:pm="smNativeData" xmlns="" val="SMDATA_4_OLmEZBMAAAAlAAAAAQAAAI8BAAAAkAAAAEgAAACQAAAASAAAAAAAAAAAAAAAAAAAABcAAAAUAAAAAAAAAAAAAAD/fwAA/38AAAAAAAAJAAAABAAAAEEASAAhAAAAMAAAACwAAAARAAAAAAAAAEYDyAEbAAAAAAAAAEYBdwP2AQAA1xUAANsBAABWCwAAAAAAAA=="/>
            </a:ext>
          </a:extLst>
        </xdr:cNvGrpSpPr>
      </xdr:nvGrpSpPr>
      <xdr:grpSpPr>
        <a:xfrm>
          <a:off x="318770" y="3107531"/>
          <a:ext cx="301625" cy="1643857"/>
          <a:chOff x="318770" y="3550285"/>
          <a:chExt cx="301625" cy="1842770"/>
        </a:xfrm>
      </xdr:grpSpPr>
      <xdr:pic>
        <xdr:nvPicPr>
          <xdr:cNvPr id="3" name="Grafik 19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  <a:extLst>
              <a:ext uri="smNativeData">
                <pm:smNativeData xmlns:pm="smNativeData" xmlns="" val="SMDATA_16_OLmEZBMAAAAlAAAAEQAAAC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9ImJt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AAAAAAAAAAAAAAAAMAgAA1xUAAMUBAACkAQAAAAAAADAAAAAUAAAAAAAAAAAA//8AAAEAAAD//wAAAQA="/>
              </a:ext>
            </a:extLst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32740" y="3550285"/>
            <a:ext cx="287655" cy="266700"/>
          </a:xfrm>
          <a:prstGeom prst="rect">
            <a:avLst/>
          </a:prstGeom>
          <a:noFill/>
          <a:ln w="9525" cap="flat">
            <a:noFill/>
            <a:prstDash val="solid"/>
            <a:headEnd type="none" w="med" len="med"/>
            <a:tailEnd type="none" w="med" len="med"/>
          </a:ln>
          <a:effectLst/>
        </xdr:spPr>
      </xdr:pic>
      <xdr:pic>
        <xdr:nvPicPr>
          <xdr:cNvPr id="4" name="Grafik 20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  <a:extLst>
              <a:ext uri="smNativeData">
                <pm:smNativeData xmlns:pm="smNativeData" xmlns="" val="SMDATA_16_OLmEZBMAAAAlAAAAEQAAAC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AAAAAAAAAAAAAAAAMAgAASxgAAKUBAACGAQAAAAAAADAAAAAUAAAAAAAAAAAA//8AAAEAAAD//wAAAQA="/>
              </a:ext>
            </a:extLst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2740" y="3949065"/>
            <a:ext cx="267335" cy="247650"/>
          </a:xfrm>
          <a:prstGeom prst="rect">
            <a:avLst/>
          </a:prstGeom>
          <a:noFill/>
          <a:ln w="9525" cap="flat">
            <a:noFill/>
            <a:prstDash val="solid"/>
            <a:headEnd type="none" w="med" len="med"/>
            <a:tailEnd type="none" w="med" len="med"/>
          </a:ln>
          <a:effectLst/>
        </xdr:spPr>
      </xdr:pic>
      <xdr:pic>
        <xdr:nvPicPr>
          <xdr:cNvPr id="5" name="Grafik 21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  <a:extLst>
              <a:ext uri="smNativeData">
                <pm:smNativeData xmlns:pm="smNativeData" xmlns="" val="SMDATA_16_OLmEZBMAAAAlAAAAEQAAAC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AAAAAAAAAAAAAAAAMAgAAoRoAALoBAACaAQAAAAAAADAAAAAUAAAAAAAAAAAA//8AAAEAAAD//wAAAQA="/>
              </a:ext>
            </a:extLst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32740" y="4328795"/>
            <a:ext cx="280670" cy="260350"/>
          </a:xfrm>
          <a:prstGeom prst="rect">
            <a:avLst/>
          </a:prstGeom>
          <a:noFill/>
          <a:ln w="9525" cap="flat">
            <a:noFill/>
            <a:prstDash val="solid"/>
            <a:headEnd type="none" w="med" len="med"/>
            <a:tailEnd type="none" w="med" len="med"/>
          </a:ln>
          <a:effectLst/>
        </xdr:spPr>
      </xdr:pic>
      <xdr:pic>
        <xdr:nvPicPr>
          <xdr:cNvPr id="6" name="Grafik 22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  <a:extLst>
              <a:ext uri="smNativeData">
                <pm:smNativeData xmlns:pm="smNativeData" xmlns="" val="SMDATA_16_OLmEZBMAAAAlAAAAEQAAAC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B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AAAAAAAAAAAAAAAD2AQAACx0AANABAACuAQAAAAAAADAAAAAUAAAAAAAAAAAA//8AAAEAAAD//wAAAQA="/>
              </a:ext>
            </a:extLst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18770" y="4721225"/>
            <a:ext cx="294640" cy="273050"/>
          </a:xfrm>
          <a:prstGeom prst="rect">
            <a:avLst/>
          </a:prstGeom>
          <a:noFill/>
          <a:ln w="9525" cap="flat">
            <a:noFill/>
            <a:prstDash val="solid"/>
            <a:headEnd type="none" w="med" len="med"/>
            <a:tailEnd type="none" w="med" len="med"/>
          </a:ln>
          <a:effectLst/>
        </xdr:spPr>
      </xdr:pic>
      <xdr:pic>
        <xdr:nvPicPr>
          <xdr:cNvPr id="7" name="Grafik 23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  <a:extLst>
              <a:ext uri="smNativeData">
                <pm:smNativeData xmlns:pm="smNativeData" xmlns="" val="SMDATA_16_OLmEZBMAAAAlAAAAEQAAAC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AAAAAAAAAAAAAAAAAAAAAABAgAAiR8AAMUBAACkAQAAAAAAADAAAAAUAAAAAAAAAAAA//8AAAEAAAD//wAAAQA="/>
              </a:ext>
            </a:extLst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5755" y="5126355"/>
            <a:ext cx="287655" cy="266700"/>
          </a:xfrm>
          <a:prstGeom prst="rect">
            <a:avLst/>
          </a:prstGeom>
          <a:noFill/>
          <a:ln w="9525" cap="flat">
            <a:noFill/>
            <a:prstDash val="solid"/>
            <a:headEnd type="none" w="med" len="med"/>
            <a:tailEnd type="none" w="med" len="med"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16249</xdr:colOff>
      <xdr:row>10</xdr:row>
      <xdr:rowOff>40005</xdr:rowOff>
    </xdr:from>
    <xdr:to>
      <xdr:col>9</xdr:col>
      <xdr:colOff>151877</xdr:colOff>
      <xdr:row>20</xdr:row>
      <xdr:rowOff>83820</xdr:rowOff>
    </xdr:to>
    <xdr:pic>
      <xdr:nvPicPr>
        <xdr:cNvPr id="2" name="Grafik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6_OLmEZBMAAAAlAAAAEQAAAK8B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IAAAABwAAAM0BkQESAAAADAAAANAC2gMxJAAAyAoAAHkbAADOCwAAAAAAADAAAAAUAAAAAAAAAAAA//8AAAEAAAD//wAAAQA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9096" y="2030170"/>
          <a:ext cx="4349040" cy="1836756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</xdr:col>
      <xdr:colOff>14287</xdr:colOff>
      <xdr:row>67</xdr:row>
      <xdr:rowOff>14287</xdr:rowOff>
    </xdr:from>
    <xdr:to>
      <xdr:col>15</xdr:col>
      <xdr:colOff>828675</xdr:colOff>
      <xdr:row>83</xdr:row>
      <xdr:rowOff>14287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7B8A1F9C-2ACD-2354-DBD0-E957DA007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ersson, Elke" id="{3D83F382-2106-412E-B2CB-67D5CCB82325}" userId="S::elke.andersson@excelitas.com::c4c6250e-2ad6-487b-87bf-8dd96750c7b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" dT="2023-06-19T07:06:09.21" personId="{3D83F382-2106-412E-B2CB-67D5CCB82325}" id="{7A2E25FF-5CC5-437D-B2FB-5B96A33BE21E}">
    <text>Berechnet mit Zeitangaben aus Wikipedia.
(Quelle: https://de.wikipedia.org/wiki/Lunation)</text>
  </threadedComment>
  <threadedComment ref="D4" dT="2023-06-19T07:05:10.17" personId="{3D83F382-2106-412E-B2CB-67D5CCB82325}" id="{7452C93E-D4EE-43C3-A5F9-59CD34D8FC53}">
    <text>Zahlen aus dem Buch.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60"/>
  <sheetViews>
    <sheetView tabSelected="1" zoomScale="80" zoomScaleNormal="80" workbookViewId="0">
      <selection activeCell="U28" sqref="U28"/>
    </sheetView>
  </sheetViews>
  <sheetFormatPr baseColWidth="10" defaultColWidth="10" defaultRowHeight="13.5"/>
  <cols>
    <col min="1" max="1" width="10.140625" style="3" customWidth="1"/>
    <col min="2" max="2" width="24" style="14" customWidth="1"/>
    <col min="3" max="3" width="18.28515625" style="2" customWidth="1"/>
    <col min="4" max="4" width="5.5703125" style="2" customWidth="1"/>
    <col min="5" max="5" width="5.5703125" style="3" customWidth="1"/>
    <col min="6" max="6" width="9.42578125" style="3" customWidth="1"/>
    <col min="7" max="7" width="10.28515625" style="3" customWidth="1"/>
    <col min="8" max="8" width="6.140625" style="2" customWidth="1"/>
    <col min="9" max="9" width="10.5703125" style="2" customWidth="1"/>
    <col min="10" max="10" width="10.28515625" style="3" customWidth="1"/>
    <col min="11" max="11" width="14.85546875" style="3" customWidth="1"/>
    <col min="12" max="12" width="10.5703125" style="3" customWidth="1"/>
    <col min="13" max="15" width="11.5703125" style="3" customWidth="1"/>
    <col min="16" max="16" width="12.7109375" style="3" customWidth="1"/>
    <col min="17" max="17" width="5.140625" style="3" customWidth="1"/>
    <col min="18" max="21" width="9.42578125" style="3" customWidth="1"/>
    <col min="22" max="22" width="13.7109375" style="3" customWidth="1"/>
    <col min="23" max="23" width="14.85546875" style="3" customWidth="1"/>
    <col min="24" max="25" width="8.42578125" style="3" customWidth="1"/>
    <col min="26" max="27" width="10.5703125" style="3" customWidth="1"/>
    <col min="28" max="28" width="9.42578125" style="3" customWidth="1"/>
    <col min="29" max="29" width="10.5703125" style="3" customWidth="1"/>
    <col min="30" max="31" width="9.42578125" style="3" customWidth="1"/>
    <col min="32" max="32" width="10.5703125" style="3" customWidth="1"/>
    <col min="33" max="33" width="8.42578125" style="3" customWidth="1"/>
    <col min="34" max="34" width="9.42578125" style="3" customWidth="1"/>
    <col min="35" max="36" width="10.5703125" style="3" customWidth="1"/>
    <col min="37" max="37" width="9.42578125" style="3" customWidth="1"/>
    <col min="38" max="253" width="10.7109375" style="2" customWidth="1"/>
    <col min="254" max="254" width="15" style="2" customWidth="1"/>
    <col min="255" max="255" width="10.7109375" style="2" customWidth="1"/>
    <col min="256" max="256" width="18.28515625" style="2" customWidth="1"/>
    <col min="257" max="257" width="5.28515625" style="2" customWidth="1"/>
    <col min="258" max="258" width="5" style="2" customWidth="1"/>
    <col min="259" max="259" width="7.85546875" style="2" customWidth="1"/>
    <col min="260" max="509" width="10.7109375" style="2" customWidth="1"/>
    <col min="510" max="510" width="15" style="2" customWidth="1"/>
    <col min="511" max="511" width="10.7109375" style="2" customWidth="1"/>
    <col min="512" max="512" width="18.28515625" style="2" customWidth="1"/>
    <col min="513" max="513" width="5.28515625" style="2" customWidth="1"/>
    <col min="514" max="514" width="5" style="2" customWidth="1"/>
    <col min="515" max="515" width="7.85546875" style="2" customWidth="1"/>
    <col min="516" max="765" width="10.7109375" style="2" customWidth="1"/>
    <col min="766" max="766" width="15" style="2" customWidth="1"/>
    <col min="767" max="767" width="10.7109375" style="2" customWidth="1"/>
    <col min="768" max="768" width="18.28515625" style="2" customWidth="1"/>
    <col min="769" max="769" width="5.28515625" style="2" customWidth="1"/>
    <col min="770" max="770" width="5" style="2" customWidth="1"/>
    <col min="771" max="771" width="7.85546875" style="2" customWidth="1"/>
    <col min="772" max="1021" width="10.7109375" style="2" customWidth="1"/>
    <col min="1022" max="1022" width="15" style="2" customWidth="1"/>
    <col min="1023" max="1023" width="10.7109375" style="2" customWidth="1"/>
    <col min="1024" max="1024" width="18.28515625" style="2" customWidth="1"/>
    <col min="1025" max="1025" width="5.28515625" style="2" customWidth="1"/>
    <col min="1026" max="1026" width="5" style="2" customWidth="1"/>
    <col min="1027" max="1027" width="7.85546875" style="2" customWidth="1"/>
    <col min="1028" max="1277" width="10.7109375" style="2" customWidth="1"/>
    <col min="1278" max="1278" width="15" style="2" customWidth="1"/>
    <col min="1279" max="1279" width="10.7109375" style="2" customWidth="1"/>
    <col min="1280" max="1280" width="18.28515625" style="2" customWidth="1"/>
    <col min="1281" max="1281" width="5.28515625" style="2" customWidth="1"/>
    <col min="1282" max="1282" width="5" style="2" customWidth="1"/>
    <col min="1283" max="1283" width="7.85546875" style="2" customWidth="1"/>
    <col min="1284" max="1533" width="10.7109375" style="2" customWidth="1"/>
    <col min="1534" max="1534" width="15" style="2" customWidth="1"/>
    <col min="1535" max="1535" width="10.7109375" style="2" customWidth="1"/>
    <col min="1536" max="1536" width="18.28515625" style="2" customWidth="1"/>
    <col min="1537" max="1537" width="5.28515625" style="2" customWidth="1"/>
    <col min="1538" max="1538" width="5" style="2" customWidth="1"/>
    <col min="1539" max="1539" width="7.85546875" style="2" customWidth="1"/>
    <col min="1540" max="1789" width="10.7109375" style="2" customWidth="1"/>
    <col min="1790" max="1790" width="15" style="2" customWidth="1"/>
    <col min="1791" max="1791" width="10.7109375" style="2" customWidth="1"/>
    <col min="1792" max="1792" width="18.28515625" style="2" customWidth="1"/>
    <col min="1793" max="1793" width="5.28515625" style="2" customWidth="1"/>
    <col min="1794" max="1794" width="5" style="2" customWidth="1"/>
    <col min="1795" max="1795" width="7.85546875" style="2" customWidth="1"/>
    <col min="1796" max="2045" width="10.7109375" style="2" customWidth="1"/>
    <col min="2046" max="2046" width="15" style="2" customWidth="1"/>
    <col min="2047" max="2047" width="10.7109375" style="2" customWidth="1"/>
    <col min="2048" max="2048" width="18.28515625" style="2" customWidth="1"/>
    <col min="2049" max="2049" width="5.28515625" style="2" customWidth="1"/>
    <col min="2050" max="2050" width="5" style="2" customWidth="1"/>
    <col min="2051" max="2051" width="7.85546875" style="2" customWidth="1"/>
    <col min="2052" max="2301" width="10.7109375" style="2" customWidth="1"/>
    <col min="2302" max="2302" width="15" style="2" customWidth="1"/>
    <col min="2303" max="2303" width="10.7109375" style="2" customWidth="1"/>
    <col min="2304" max="2304" width="18.28515625" style="2" customWidth="1"/>
    <col min="2305" max="2305" width="5.28515625" style="2" customWidth="1"/>
    <col min="2306" max="2306" width="5" style="2" customWidth="1"/>
    <col min="2307" max="2307" width="7.85546875" style="2" customWidth="1"/>
    <col min="2308" max="2557" width="10.7109375" style="2" customWidth="1"/>
    <col min="2558" max="2558" width="15" style="2" customWidth="1"/>
    <col min="2559" max="2559" width="10.7109375" style="2" customWidth="1"/>
    <col min="2560" max="2560" width="18.28515625" style="2" customWidth="1"/>
    <col min="2561" max="2561" width="5.28515625" style="2" customWidth="1"/>
    <col min="2562" max="2562" width="5" style="2" customWidth="1"/>
    <col min="2563" max="2563" width="7.85546875" style="2" customWidth="1"/>
    <col min="2564" max="2813" width="10.7109375" style="2" customWidth="1"/>
    <col min="2814" max="2814" width="15" style="2" customWidth="1"/>
    <col min="2815" max="2815" width="10.7109375" style="2" customWidth="1"/>
    <col min="2816" max="2816" width="18.28515625" style="2" customWidth="1"/>
    <col min="2817" max="2817" width="5.28515625" style="2" customWidth="1"/>
    <col min="2818" max="2818" width="5" style="2" customWidth="1"/>
    <col min="2819" max="2819" width="7.85546875" style="2" customWidth="1"/>
    <col min="2820" max="3069" width="10.7109375" style="2" customWidth="1"/>
    <col min="3070" max="3070" width="15" style="2" customWidth="1"/>
    <col min="3071" max="3071" width="10.7109375" style="2" customWidth="1"/>
    <col min="3072" max="3072" width="18.28515625" style="2" customWidth="1"/>
    <col min="3073" max="3073" width="5.28515625" style="2" customWidth="1"/>
    <col min="3074" max="3074" width="5" style="2" customWidth="1"/>
    <col min="3075" max="3075" width="7.85546875" style="2" customWidth="1"/>
    <col min="3076" max="3325" width="10.7109375" style="2" customWidth="1"/>
    <col min="3326" max="3326" width="15" style="2" customWidth="1"/>
    <col min="3327" max="3327" width="10.7109375" style="2" customWidth="1"/>
    <col min="3328" max="3328" width="18.28515625" style="2" customWidth="1"/>
    <col min="3329" max="3329" width="5.28515625" style="2" customWidth="1"/>
    <col min="3330" max="3330" width="5" style="2" customWidth="1"/>
    <col min="3331" max="3331" width="7.85546875" style="2" customWidth="1"/>
    <col min="3332" max="3581" width="10.7109375" style="2" customWidth="1"/>
    <col min="3582" max="3582" width="15" style="2" customWidth="1"/>
    <col min="3583" max="3583" width="10.7109375" style="2" customWidth="1"/>
    <col min="3584" max="3584" width="18.28515625" style="2" customWidth="1"/>
    <col min="3585" max="3585" width="5.28515625" style="2" customWidth="1"/>
    <col min="3586" max="3586" width="5" style="2" customWidth="1"/>
    <col min="3587" max="3587" width="7.85546875" style="2" customWidth="1"/>
    <col min="3588" max="3837" width="10.7109375" style="2" customWidth="1"/>
    <col min="3838" max="3838" width="15" style="2" customWidth="1"/>
    <col min="3839" max="3839" width="10.7109375" style="2" customWidth="1"/>
    <col min="3840" max="3840" width="18.28515625" style="2" customWidth="1"/>
    <col min="3841" max="3841" width="5.28515625" style="2" customWidth="1"/>
    <col min="3842" max="3842" width="5" style="2" customWidth="1"/>
    <col min="3843" max="3843" width="7.85546875" style="2" customWidth="1"/>
    <col min="3844" max="4093" width="10.7109375" style="2" customWidth="1"/>
    <col min="4094" max="4094" width="15" style="2" customWidth="1"/>
    <col min="4095" max="4095" width="10.7109375" style="2" customWidth="1"/>
    <col min="4096" max="4096" width="18.28515625" style="2" customWidth="1"/>
    <col min="4097" max="4097" width="5.28515625" style="2" customWidth="1"/>
    <col min="4098" max="4098" width="5" style="2" customWidth="1"/>
    <col min="4099" max="4099" width="7.85546875" style="2" customWidth="1"/>
    <col min="4100" max="4349" width="10.7109375" style="2" customWidth="1"/>
    <col min="4350" max="4350" width="15" style="2" customWidth="1"/>
    <col min="4351" max="4351" width="10.7109375" style="2" customWidth="1"/>
    <col min="4352" max="4352" width="18.28515625" style="2" customWidth="1"/>
    <col min="4353" max="4353" width="5.28515625" style="2" customWidth="1"/>
    <col min="4354" max="4354" width="5" style="2" customWidth="1"/>
    <col min="4355" max="4355" width="7.85546875" style="2" customWidth="1"/>
    <col min="4356" max="4605" width="10.7109375" style="2" customWidth="1"/>
    <col min="4606" max="4606" width="15" style="2" customWidth="1"/>
    <col min="4607" max="4607" width="10.7109375" style="2" customWidth="1"/>
    <col min="4608" max="4608" width="18.28515625" style="2" customWidth="1"/>
    <col min="4609" max="4609" width="5.28515625" style="2" customWidth="1"/>
    <col min="4610" max="4610" width="5" style="2" customWidth="1"/>
    <col min="4611" max="4611" width="7.85546875" style="2" customWidth="1"/>
    <col min="4612" max="4861" width="10.7109375" style="2" customWidth="1"/>
    <col min="4862" max="4862" width="15" style="2" customWidth="1"/>
    <col min="4863" max="4863" width="10.7109375" style="2" customWidth="1"/>
    <col min="4864" max="4864" width="18.28515625" style="2" customWidth="1"/>
    <col min="4865" max="4865" width="5.28515625" style="2" customWidth="1"/>
    <col min="4866" max="4866" width="5" style="2" customWidth="1"/>
    <col min="4867" max="4867" width="7.85546875" style="2" customWidth="1"/>
    <col min="4868" max="5117" width="10.7109375" style="2" customWidth="1"/>
    <col min="5118" max="5118" width="15" style="2" customWidth="1"/>
    <col min="5119" max="5119" width="10.7109375" style="2" customWidth="1"/>
    <col min="5120" max="5120" width="18.28515625" style="2" customWidth="1"/>
    <col min="5121" max="5121" width="5.28515625" style="2" customWidth="1"/>
    <col min="5122" max="5122" width="5" style="2" customWidth="1"/>
    <col min="5123" max="5123" width="7.85546875" style="2" customWidth="1"/>
    <col min="5124" max="5373" width="10.7109375" style="2" customWidth="1"/>
    <col min="5374" max="5374" width="15" style="2" customWidth="1"/>
    <col min="5375" max="5375" width="10.7109375" style="2" customWidth="1"/>
    <col min="5376" max="5376" width="18.28515625" style="2" customWidth="1"/>
    <col min="5377" max="5377" width="5.28515625" style="2" customWidth="1"/>
    <col min="5378" max="5378" width="5" style="2" customWidth="1"/>
    <col min="5379" max="5379" width="7.85546875" style="2" customWidth="1"/>
    <col min="5380" max="5629" width="10.7109375" style="2" customWidth="1"/>
    <col min="5630" max="5630" width="15" style="2" customWidth="1"/>
    <col min="5631" max="5631" width="10.7109375" style="2" customWidth="1"/>
    <col min="5632" max="5632" width="18.28515625" style="2" customWidth="1"/>
    <col min="5633" max="5633" width="5.28515625" style="2" customWidth="1"/>
    <col min="5634" max="5634" width="5" style="2" customWidth="1"/>
    <col min="5635" max="5635" width="7.85546875" style="2" customWidth="1"/>
    <col min="5636" max="5885" width="10.7109375" style="2" customWidth="1"/>
    <col min="5886" max="5886" width="15" style="2" customWidth="1"/>
    <col min="5887" max="5887" width="10.7109375" style="2" customWidth="1"/>
    <col min="5888" max="5888" width="18.28515625" style="2" customWidth="1"/>
    <col min="5889" max="5889" width="5.28515625" style="2" customWidth="1"/>
    <col min="5890" max="5890" width="5" style="2" customWidth="1"/>
    <col min="5891" max="5891" width="7.85546875" style="2" customWidth="1"/>
    <col min="5892" max="6141" width="10.7109375" style="2" customWidth="1"/>
    <col min="6142" max="6142" width="15" style="2" customWidth="1"/>
    <col min="6143" max="6143" width="10.7109375" style="2" customWidth="1"/>
    <col min="6144" max="6144" width="18.28515625" style="2" customWidth="1"/>
    <col min="6145" max="6145" width="5.28515625" style="2" customWidth="1"/>
    <col min="6146" max="6146" width="5" style="2" customWidth="1"/>
    <col min="6147" max="6147" width="7.85546875" style="2" customWidth="1"/>
    <col min="6148" max="6397" width="10.7109375" style="2" customWidth="1"/>
    <col min="6398" max="6398" width="15" style="2" customWidth="1"/>
    <col min="6399" max="6399" width="10.7109375" style="2" customWidth="1"/>
    <col min="6400" max="6400" width="18.28515625" style="2" customWidth="1"/>
    <col min="6401" max="6401" width="5.28515625" style="2" customWidth="1"/>
    <col min="6402" max="6402" width="5" style="2" customWidth="1"/>
    <col min="6403" max="6403" width="7.85546875" style="2" customWidth="1"/>
    <col min="6404" max="6653" width="10.7109375" style="2" customWidth="1"/>
    <col min="6654" max="6654" width="15" style="2" customWidth="1"/>
    <col min="6655" max="6655" width="10.7109375" style="2" customWidth="1"/>
    <col min="6656" max="6656" width="18.28515625" style="2" customWidth="1"/>
    <col min="6657" max="6657" width="5.28515625" style="2" customWidth="1"/>
    <col min="6658" max="6658" width="5" style="2" customWidth="1"/>
    <col min="6659" max="6659" width="7.85546875" style="2" customWidth="1"/>
    <col min="6660" max="6909" width="10.7109375" style="2" customWidth="1"/>
    <col min="6910" max="6910" width="15" style="2" customWidth="1"/>
    <col min="6911" max="6911" width="10.7109375" style="2" customWidth="1"/>
    <col min="6912" max="6912" width="18.28515625" style="2" customWidth="1"/>
    <col min="6913" max="6913" width="5.28515625" style="2" customWidth="1"/>
    <col min="6914" max="6914" width="5" style="2" customWidth="1"/>
    <col min="6915" max="6915" width="7.85546875" style="2" customWidth="1"/>
    <col min="6916" max="7165" width="10.7109375" style="2" customWidth="1"/>
    <col min="7166" max="7166" width="15" style="2" customWidth="1"/>
    <col min="7167" max="7167" width="10.7109375" style="2" customWidth="1"/>
    <col min="7168" max="7168" width="18.28515625" style="2" customWidth="1"/>
    <col min="7169" max="7169" width="5.28515625" style="2" customWidth="1"/>
    <col min="7170" max="7170" width="5" style="2" customWidth="1"/>
    <col min="7171" max="7171" width="7.85546875" style="2" customWidth="1"/>
    <col min="7172" max="7421" width="10.7109375" style="2" customWidth="1"/>
    <col min="7422" max="7422" width="15" style="2" customWidth="1"/>
    <col min="7423" max="7423" width="10.7109375" style="2" customWidth="1"/>
    <col min="7424" max="7424" width="18.28515625" style="2" customWidth="1"/>
    <col min="7425" max="7425" width="5.28515625" style="2" customWidth="1"/>
    <col min="7426" max="7426" width="5" style="2" customWidth="1"/>
    <col min="7427" max="7427" width="7.85546875" style="2" customWidth="1"/>
    <col min="7428" max="7677" width="10.7109375" style="2" customWidth="1"/>
    <col min="7678" max="7678" width="15" style="2" customWidth="1"/>
    <col min="7679" max="7679" width="10.7109375" style="2" customWidth="1"/>
    <col min="7680" max="7680" width="18.28515625" style="2" customWidth="1"/>
    <col min="7681" max="7681" width="5.28515625" style="2" customWidth="1"/>
    <col min="7682" max="7682" width="5" style="2" customWidth="1"/>
    <col min="7683" max="7683" width="7.85546875" style="2" customWidth="1"/>
    <col min="7684" max="7933" width="10.7109375" style="2" customWidth="1"/>
    <col min="7934" max="7934" width="15" style="2" customWidth="1"/>
    <col min="7935" max="7935" width="10.7109375" style="2" customWidth="1"/>
    <col min="7936" max="7936" width="18.28515625" style="2" customWidth="1"/>
    <col min="7937" max="7937" width="5.28515625" style="2" customWidth="1"/>
    <col min="7938" max="7938" width="5" style="2" customWidth="1"/>
    <col min="7939" max="7939" width="7.85546875" style="2" customWidth="1"/>
    <col min="7940" max="8189" width="10.7109375" style="2" customWidth="1"/>
    <col min="8190" max="8190" width="15" style="2" customWidth="1"/>
    <col min="8191" max="8191" width="10.7109375" style="2" customWidth="1"/>
    <col min="8192" max="8192" width="18.28515625" style="2" customWidth="1"/>
    <col min="8193" max="8193" width="5.28515625" style="2" customWidth="1"/>
    <col min="8194" max="8194" width="5" style="2" customWidth="1"/>
    <col min="8195" max="8195" width="7.85546875" style="2" customWidth="1"/>
    <col min="8196" max="8445" width="10.7109375" style="2" customWidth="1"/>
    <col min="8446" max="8446" width="15" style="2" customWidth="1"/>
    <col min="8447" max="8447" width="10.7109375" style="2" customWidth="1"/>
    <col min="8448" max="8448" width="18.28515625" style="2" customWidth="1"/>
    <col min="8449" max="8449" width="5.28515625" style="2" customWidth="1"/>
    <col min="8450" max="8450" width="5" style="2" customWidth="1"/>
    <col min="8451" max="8451" width="7.85546875" style="2" customWidth="1"/>
    <col min="8452" max="8701" width="10.7109375" style="2" customWidth="1"/>
    <col min="8702" max="8702" width="15" style="2" customWidth="1"/>
    <col min="8703" max="8703" width="10.7109375" style="2" customWidth="1"/>
    <col min="8704" max="8704" width="18.28515625" style="2" customWidth="1"/>
    <col min="8705" max="8705" width="5.28515625" style="2" customWidth="1"/>
    <col min="8706" max="8706" width="5" style="2" customWidth="1"/>
    <col min="8707" max="8707" width="7.85546875" style="2" customWidth="1"/>
    <col min="8708" max="8957" width="10.7109375" style="2" customWidth="1"/>
    <col min="8958" max="8958" width="15" style="2" customWidth="1"/>
    <col min="8959" max="8959" width="10.7109375" style="2" customWidth="1"/>
    <col min="8960" max="8960" width="18.28515625" style="2" customWidth="1"/>
    <col min="8961" max="8961" width="5.28515625" style="2" customWidth="1"/>
    <col min="8962" max="8962" width="5" style="2" customWidth="1"/>
    <col min="8963" max="8963" width="7.85546875" style="2" customWidth="1"/>
    <col min="8964" max="9213" width="10.7109375" style="2" customWidth="1"/>
    <col min="9214" max="9214" width="15" style="2" customWidth="1"/>
    <col min="9215" max="9215" width="10.7109375" style="2" customWidth="1"/>
    <col min="9216" max="9216" width="18.28515625" style="2" customWidth="1"/>
    <col min="9217" max="9217" width="5.28515625" style="2" customWidth="1"/>
    <col min="9218" max="9218" width="5" style="2" customWidth="1"/>
    <col min="9219" max="9219" width="7.85546875" style="2" customWidth="1"/>
    <col min="9220" max="9469" width="10.7109375" style="2" customWidth="1"/>
    <col min="9470" max="9470" width="15" style="2" customWidth="1"/>
    <col min="9471" max="9471" width="10.7109375" style="2" customWidth="1"/>
    <col min="9472" max="9472" width="18.28515625" style="2" customWidth="1"/>
    <col min="9473" max="9473" width="5.28515625" style="2" customWidth="1"/>
    <col min="9474" max="9474" width="5" style="2" customWidth="1"/>
    <col min="9475" max="9475" width="7.85546875" style="2" customWidth="1"/>
    <col min="9476" max="9725" width="10.7109375" style="2" customWidth="1"/>
    <col min="9726" max="9726" width="15" style="2" customWidth="1"/>
    <col min="9727" max="9727" width="10.7109375" style="2" customWidth="1"/>
    <col min="9728" max="9728" width="18.28515625" style="2" customWidth="1"/>
    <col min="9729" max="9729" width="5.28515625" style="2" customWidth="1"/>
    <col min="9730" max="9730" width="5" style="2" customWidth="1"/>
    <col min="9731" max="9731" width="7.85546875" style="2" customWidth="1"/>
    <col min="9732" max="9981" width="10.7109375" style="2" customWidth="1"/>
    <col min="9982" max="9982" width="15" style="2" customWidth="1"/>
    <col min="9983" max="9983" width="10.7109375" style="2" customWidth="1"/>
    <col min="9984" max="9984" width="18.28515625" style="2" customWidth="1"/>
    <col min="9985" max="9985" width="5.28515625" style="2" customWidth="1"/>
    <col min="9986" max="9986" width="5" style="2" customWidth="1"/>
    <col min="9987" max="9987" width="7.85546875" style="2" customWidth="1"/>
    <col min="9988" max="10237" width="10.7109375" style="2" customWidth="1"/>
    <col min="10238" max="10238" width="15" style="2" customWidth="1"/>
    <col min="10239" max="10239" width="10.7109375" style="2" customWidth="1"/>
    <col min="10240" max="10240" width="18.28515625" style="2" customWidth="1"/>
    <col min="10241" max="10241" width="5.28515625" style="2" customWidth="1"/>
    <col min="10242" max="10242" width="5" style="2" customWidth="1"/>
    <col min="10243" max="10243" width="7.85546875" style="2" customWidth="1"/>
    <col min="10244" max="10493" width="10.7109375" style="2" customWidth="1"/>
    <col min="10494" max="10494" width="15" style="2" customWidth="1"/>
    <col min="10495" max="10495" width="10.7109375" style="2" customWidth="1"/>
    <col min="10496" max="10496" width="18.28515625" style="2" customWidth="1"/>
    <col min="10497" max="10497" width="5.28515625" style="2" customWidth="1"/>
    <col min="10498" max="10498" width="5" style="2" customWidth="1"/>
    <col min="10499" max="10499" width="7.85546875" style="2" customWidth="1"/>
    <col min="10500" max="10749" width="10.7109375" style="2" customWidth="1"/>
    <col min="10750" max="10750" width="15" style="2" customWidth="1"/>
    <col min="10751" max="10751" width="10.7109375" style="2" customWidth="1"/>
    <col min="10752" max="10752" width="18.28515625" style="2" customWidth="1"/>
    <col min="10753" max="10753" width="5.28515625" style="2" customWidth="1"/>
    <col min="10754" max="10754" width="5" style="2" customWidth="1"/>
    <col min="10755" max="10755" width="7.85546875" style="2" customWidth="1"/>
    <col min="10756" max="11005" width="10.7109375" style="2" customWidth="1"/>
    <col min="11006" max="11006" width="15" style="2" customWidth="1"/>
    <col min="11007" max="11007" width="10.7109375" style="2" customWidth="1"/>
    <col min="11008" max="11008" width="18.28515625" style="2" customWidth="1"/>
    <col min="11009" max="11009" width="5.28515625" style="2" customWidth="1"/>
    <col min="11010" max="11010" width="5" style="2" customWidth="1"/>
    <col min="11011" max="11011" width="7.85546875" style="2" customWidth="1"/>
    <col min="11012" max="11261" width="10.7109375" style="2" customWidth="1"/>
    <col min="11262" max="11262" width="15" style="2" customWidth="1"/>
    <col min="11263" max="11263" width="10.7109375" style="2" customWidth="1"/>
    <col min="11264" max="11264" width="18.28515625" style="2" customWidth="1"/>
    <col min="11265" max="11265" width="5.28515625" style="2" customWidth="1"/>
    <col min="11266" max="11266" width="5" style="2" customWidth="1"/>
    <col min="11267" max="11267" width="7.85546875" style="2" customWidth="1"/>
    <col min="11268" max="11517" width="10.7109375" style="2" customWidth="1"/>
    <col min="11518" max="11518" width="15" style="2" customWidth="1"/>
    <col min="11519" max="11519" width="10.7109375" style="2" customWidth="1"/>
    <col min="11520" max="11520" width="18.28515625" style="2" customWidth="1"/>
    <col min="11521" max="11521" width="5.28515625" style="2" customWidth="1"/>
    <col min="11522" max="11522" width="5" style="2" customWidth="1"/>
    <col min="11523" max="11523" width="7.85546875" style="2" customWidth="1"/>
    <col min="11524" max="11773" width="10.7109375" style="2" customWidth="1"/>
    <col min="11774" max="11774" width="15" style="2" customWidth="1"/>
    <col min="11775" max="11775" width="10.7109375" style="2" customWidth="1"/>
    <col min="11776" max="11776" width="18.28515625" style="2" customWidth="1"/>
    <col min="11777" max="11777" width="5.28515625" style="2" customWidth="1"/>
    <col min="11778" max="11778" width="5" style="2" customWidth="1"/>
    <col min="11779" max="11779" width="7.85546875" style="2" customWidth="1"/>
    <col min="11780" max="12029" width="10.7109375" style="2" customWidth="1"/>
    <col min="12030" max="12030" width="15" style="2" customWidth="1"/>
    <col min="12031" max="12031" width="10.7109375" style="2" customWidth="1"/>
    <col min="12032" max="12032" width="18.28515625" style="2" customWidth="1"/>
    <col min="12033" max="12033" width="5.28515625" style="2" customWidth="1"/>
    <col min="12034" max="12034" width="5" style="2" customWidth="1"/>
    <col min="12035" max="12035" width="7.85546875" style="2" customWidth="1"/>
    <col min="12036" max="12285" width="10.7109375" style="2" customWidth="1"/>
    <col min="12286" max="12286" width="15" style="2" customWidth="1"/>
    <col min="12287" max="12287" width="10.7109375" style="2" customWidth="1"/>
    <col min="12288" max="12288" width="18.28515625" style="2" customWidth="1"/>
    <col min="12289" max="12289" width="5.28515625" style="2" customWidth="1"/>
    <col min="12290" max="12290" width="5" style="2" customWidth="1"/>
    <col min="12291" max="12291" width="7.85546875" style="2" customWidth="1"/>
    <col min="12292" max="12541" width="10.7109375" style="2" customWidth="1"/>
    <col min="12542" max="12542" width="15" style="2" customWidth="1"/>
    <col min="12543" max="12543" width="10.7109375" style="2" customWidth="1"/>
    <col min="12544" max="12544" width="18.28515625" style="2" customWidth="1"/>
    <col min="12545" max="12545" width="5.28515625" style="2" customWidth="1"/>
    <col min="12546" max="12546" width="5" style="2" customWidth="1"/>
    <col min="12547" max="12547" width="7.85546875" style="2" customWidth="1"/>
    <col min="12548" max="12797" width="10.7109375" style="2" customWidth="1"/>
    <col min="12798" max="12798" width="15" style="2" customWidth="1"/>
    <col min="12799" max="12799" width="10.7109375" style="2" customWidth="1"/>
    <col min="12800" max="12800" width="18.28515625" style="2" customWidth="1"/>
    <col min="12801" max="12801" width="5.28515625" style="2" customWidth="1"/>
    <col min="12802" max="12802" width="5" style="2" customWidth="1"/>
    <col min="12803" max="12803" width="7.85546875" style="2" customWidth="1"/>
    <col min="12804" max="13053" width="10.7109375" style="2" customWidth="1"/>
    <col min="13054" max="13054" width="15" style="2" customWidth="1"/>
    <col min="13055" max="13055" width="10.7109375" style="2" customWidth="1"/>
    <col min="13056" max="13056" width="18.28515625" style="2" customWidth="1"/>
    <col min="13057" max="13057" width="5.28515625" style="2" customWidth="1"/>
    <col min="13058" max="13058" width="5" style="2" customWidth="1"/>
    <col min="13059" max="13059" width="7.85546875" style="2" customWidth="1"/>
    <col min="13060" max="13309" width="10.7109375" style="2" customWidth="1"/>
    <col min="13310" max="13310" width="15" style="2" customWidth="1"/>
    <col min="13311" max="13311" width="10.7109375" style="2" customWidth="1"/>
    <col min="13312" max="13312" width="18.28515625" style="2" customWidth="1"/>
    <col min="13313" max="13313" width="5.28515625" style="2" customWidth="1"/>
    <col min="13314" max="13314" width="5" style="2" customWidth="1"/>
    <col min="13315" max="13315" width="7.85546875" style="2" customWidth="1"/>
    <col min="13316" max="13565" width="10.7109375" style="2" customWidth="1"/>
    <col min="13566" max="13566" width="15" style="2" customWidth="1"/>
    <col min="13567" max="13567" width="10.7109375" style="2" customWidth="1"/>
    <col min="13568" max="13568" width="18.28515625" style="2" customWidth="1"/>
    <col min="13569" max="13569" width="5.28515625" style="2" customWidth="1"/>
    <col min="13570" max="13570" width="5" style="2" customWidth="1"/>
    <col min="13571" max="13571" width="7.85546875" style="2" customWidth="1"/>
    <col min="13572" max="13821" width="10.7109375" style="2" customWidth="1"/>
    <col min="13822" max="13822" width="15" style="2" customWidth="1"/>
    <col min="13823" max="13823" width="10.7109375" style="2" customWidth="1"/>
    <col min="13824" max="13824" width="18.28515625" style="2" customWidth="1"/>
    <col min="13825" max="13825" width="5.28515625" style="2" customWidth="1"/>
    <col min="13826" max="13826" width="5" style="2" customWidth="1"/>
    <col min="13827" max="13827" width="7.85546875" style="2" customWidth="1"/>
    <col min="13828" max="14077" width="10.7109375" style="2" customWidth="1"/>
    <col min="14078" max="14078" width="15" style="2" customWidth="1"/>
    <col min="14079" max="14079" width="10.7109375" style="2" customWidth="1"/>
    <col min="14080" max="14080" width="18.28515625" style="2" customWidth="1"/>
    <col min="14081" max="14081" width="5.28515625" style="2" customWidth="1"/>
    <col min="14082" max="14082" width="5" style="2" customWidth="1"/>
    <col min="14083" max="14083" width="7.85546875" style="2" customWidth="1"/>
    <col min="14084" max="14333" width="10.7109375" style="2" customWidth="1"/>
    <col min="14334" max="14334" width="15" style="2" customWidth="1"/>
    <col min="14335" max="14335" width="10.7109375" style="2" customWidth="1"/>
    <col min="14336" max="14336" width="18.28515625" style="2" customWidth="1"/>
    <col min="14337" max="14337" width="5.28515625" style="2" customWidth="1"/>
    <col min="14338" max="14338" width="5" style="2" customWidth="1"/>
    <col min="14339" max="14339" width="7.85546875" style="2" customWidth="1"/>
    <col min="14340" max="14589" width="10.7109375" style="2" customWidth="1"/>
    <col min="14590" max="14590" width="15" style="2" customWidth="1"/>
    <col min="14591" max="14591" width="10.7109375" style="2" customWidth="1"/>
    <col min="14592" max="14592" width="18.28515625" style="2" customWidth="1"/>
    <col min="14593" max="14593" width="5.28515625" style="2" customWidth="1"/>
    <col min="14594" max="14594" width="5" style="2" customWidth="1"/>
    <col min="14595" max="14595" width="7.85546875" style="2" customWidth="1"/>
    <col min="14596" max="14845" width="10.7109375" style="2" customWidth="1"/>
    <col min="14846" max="14846" width="15" style="2" customWidth="1"/>
    <col min="14847" max="14847" width="10.7109375" style="2" customWidth="1"/>
    <col min="14848" max="14848" width="18.28515625" style="2" customWidth="1"/>
    <col min="14849" max="14849" width="5.28515625" style="2" customWidth="1"/>
    <col min="14850" max="14850" width="5" style="2" customWidth="1"/>
    <col min="14851" max="14851" width="7.85546875" style="2" customWidth="1"/>
    <col min="14852" max="15101" width="10.7109375" style="2" customWidth="1"/>
    <col min="15102" max="15102" width="15" style="2" customWidth="1"/>
    <col min="15103" max="15103" width="10.7109375" style="2" customWidth="1"/>
    <col min="15104" max="15104" width="18.28515625" style="2" customWidth="1"/>
    <col min="15105" max="15105" width="5.28515625" style="2" customWidth="1"/>
    <col min="15106" max="15106" width="5" style="2" customWidth="1"/>
    <col min="15107" max="15107" width="7.85546875" style="2" customWidth="1"/>
    <col min="15108" max="15357" width="10.7109375" style="2" customWidth="1"/>
    <col min="15358" max="15358" width="15" style="2" customWidth="1"/>
    <col min="15359" max="15359" width="10.7109375" style="2" customWidth="1"/>
    <col min="15360" max="15360" width="18.28515625" style="2" customWidth="1"/>
    <col min="15361" max="15361" width="5.28515625" style="2" customWidth="1"/>
    <col min="15362" max="15362" width="5" style="2" customWidth="1"/>
    <col min="15363" max="15363" width="7.85546875" style="2" customWidth="1"/>
    <col min="15364" max="15613" width="10.7109375" style="2" customWidth="1"/>
    <col min="15614" max="15614" width="15" style="2" customWidth="1"/>
    <col min="15615" max="15615" width="10.7109375" style="2" customWidth="1"/>
    <col min="15616" max="15616" width="18.28515625" style="2" customWidth="1"/>
    <col min="15617" max="15617" width="5.28515625" style="2" customWidth="1"/>
    <col min="15618" max="15618" width="5" style="2" customWidth="1"/>
    <col min="15619" max="15619" width="7.85546875" style="2" customWidth="1"/>
    <col min="15620" max="15869" width="10.7109375" style="2" customWidth="1"/>
    <col min="15870" max="15870" width="15" style="2" customWidth="1"/>
    <col min="15871" max="15871" width="10.7109375" style="2" customWidth="1"/>
    <col min="15872" max="15872" width="18.28515625" style="2" customWidth="1"/>
    <col min="15873" max="15873" width="5.28515625" style="2" customWidth="1"/>
    <col min="15874" max="15874" width="5" style="2" customWidth="1"/>
    <col min="15875" max="15875" width="7.85546875" style="2" customWidth="1"/>
    <col min="15876" max="16125" width="10.7109375" style="2" customWidth="1"/>
    <col min="16126" max="16126" width="15" style="2" customWidth="1"/>
    <col min="16127" max="16127" width="10.7109375" style="2" customWidth="1"/>
    <col min="16128" max="16128" width="18.28515625" style="2" customWidth="1"/>
    <col min="16129" max="16129" width="5.28515625" style="2" customWidth="1"/>
    <col min="16130" max="16130" width="5" style="2" customWidth="1"/>
    <col min="16131" max="16131" width="7.85546875" style="2" customWidth="1"/>
    <col min="16132" max="16378" width="10.7109375" style="2" customWidth="1"/>
    <col min="16379" max="16384" width="10.28515625" customWidth="1"/>
  </cols>
  <sheetData>
    <row r="1" spans="1:16378" s="1" customFormat="1" ht="15.75">
      <c r="A1" s="2" t="s">
        <v>0</v>
      </c>
      <c r="B1" s="2"/>
      <c r="C1" s="2">
        <f>365+5/24+48/60/24+46/60/60/24</f>
        <v>365.24219907407411</v>
      </c>
      <c r="D1" s="63">
        <v>365.25</v>
      </c>
      <c r="E1" s="64"/>
      <c r="F1" s="3"/>
      <c r="G1" s="65" t="s">
        <v>1</v>
      </c>
      <c r="H1" s="65" t="s">
        <v>2</v>
      </c>
      <c r="I1" s="65" t="s">
        <v>3</v>
      </c>
      <c r="J1" s="65" t="s">
        <v>4</v>
      </c>
      <c r="K1" s="65" t="s">
        <v>5</v>
      </c>
      <c r="L1" s="65" t="s">
        <v>6</v>
      </c>
      <c r="M1" s="65" t="s">
        <v>7</v>
      </c>
      <c r="N1" s="65" t="s">
        <v>8</v>
      </c>
      <c r="O1" s="65" t="s">
        <v>9</v>
      </c>
      <c r="P1" s="65" t="s">
        <v>10</v>
      </c>
      <c r="Q1" s="65" t="s">
        <v>11</v>
      </c>
      <c r="R1" s="65" t="s">
        <v>12</v>
      </c>
      <c r="S1" s="65" t="s">
        <v>13</v>
      </c>
      <c r="T1" s="65" t="s">
        <v>14</v>
      </c>
      <c r="U1" s="65" t="s">
        <v>15</v>
      </c>
      <c r="V1" s="65" t="s">
        <v>16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spans="1:16378" s="1" customFormat="1" ht="15.75">
      <c r="A2" s="2" t="s">
        <v>17</v>
      </c>
      <c r="B2" s="2"/>
      <c r="C2" s="2">
        <f>29+12/24+44/60/24+2.9/60/60/24</f>
        <v>29.530589120370369</v>
      </c>
      <c r="D2" s="63">
        <v>29.530588853000001</v>
      </c>
      <c r="E2" s="64"/>
      <c r="F2" s="3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pans="1:16378" s="1" customFormat="1" ht="15.75">
      <c r="A3" s="2" t="s">
        <v>18</v>
      </c>
      <c r="B3" s="2"/>
      <c r="C3" s="2">
        <f>C1/C2</f>
        <v>12.368266599264285</v>
      </c>
      <c r="D3" s="63">
        <v>12.368499999999999</v>
      </c>
      <c r="E3" s="64"/>
      <c r="F3" s="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pans="1:16378" s="1" customFormat="1" ht="15.75">
      <c r="A4" s="2"/>
      <c r="B4" s="2"/>
      <c r="C4" s="2" t="s">
        <v>19</v>
      </c>
      <c r="D4" s="63" t="s">
        <v>20</v>
      </c>
      <c r="E4" s="64"/>
      <c r="F4" s="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pans="1:16378" s="1" customFormat="1" ht="15.75">
      <c r="A5" s="4" t="s">
        <v>21</v>
      </c>
      <c r="B5" s="2"/>
      <c r="C5" s="27">
        <v>2</v>
      </c>
      <c r="D5" s="66">
        <v>2415018.5</v>
      </c>
      <c r="E5" s="66"/>
      <c r="F5" s="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spans="1:16378" s="1" customFormat="1" ht="15.75">
      <c r="A6" s="4" t="s">
        <v>21</v>
      </c>
      <c r="B6" s="2"/>
      <c r="C6" s="27">
        <v>36526</v>
      </c>
      <c r="D6" s="66">
        <v>2451545</v>
      </c>
      <c r="E6" s="66"/>
      <c r="F6" s="6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  <row r="7" spans="1:16378" s="1" customFormat="1" ht="15.75">
      <c r="E7" s="3"/>
      <c r="F7" s="3"/>
      <c r="G7" s="8">
        <f>AVERAGE(G8:G60)</f>
        <v>26.221553153371101</v>
      </c>
      <c r="H7" s="7" t="s">
        <v>22</v>
      </c>
      <c r="I7" s="23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8"/>
      <c r="R7" s="8" t="s">
        <v>31</v>
      </c>
      <c r="S7" s="8"/>
      <c r="T7" s="8"/>
      <c r="U7" s="8"/>
      <c r="V7" s="8" t="s">
        <v>32</v>
      </c>
      <c r="W7" s="8" t="s">
        <v>33</v>
      </c>
      <c r="X7" s="8" t="s">
        <v>34</v>
      </c>
      <c r="Y7" s="8" t="s">
        <v>35</v>
      </c>
      <c r="Z7" s="8" t="s">
        <v>36</v>
      </c>
      <c r="AA7" s="8" t="s">
        <v>37</v>
      </c>
      <c r="AB7" s="8" t="s">
        <v>38</v>
      </c>
      <c r="AC7" s="8" t="s">
        <v>39</v>
      </c>
      <c r="AD7" s="8" t="s">
        <v>40</v>
      </c>
      <c r="AE7" s="8" t="s">
        <v>41</v>
      </c>
      <c r="AF7" s="8" t="s">
        <v>42</v>
      </c>
      <c r="AG7" s="8" t="s">
        <v>43</v>
      </c>
      <c r="AH7" s="8" t="s">
        <v>44</v>
      </c>
      <c r="AI7" s="8" t="s">
        <v>45</v>
      </c>
      <c r="AJ7" s="8" t="s">
        <v>46</v>
      </c>
      <c r="AK7" s="8" t="s">
        <v>47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</row>
    <row r="8" spans="1:16378">
      <c r="A8" s="3" t="s">
        <v>48</v>
      </c>
      <c r="B8" s="9" t="s">
        <v>49</v>
      </c>
      <c r="C8" s="10">
        <f>W8-2415018.5+$D$14/24</f>
        <v>44918.429232956376</v>
      </c>
      <c r="D8" s="16"/>
      <c r="E8" s="17"/>
      <c r="G8" s="3" t="s">
        <v>50</v>
      </c>
      <c r="H8" s="12">
        <v>0</v>
      </c>
      <c r="I8" s="22">
        <f>N16</f>
        <v>284</v>
      </c>
      <c r="J8" s="3">
        <f>I8/($C$3*100)</f>
        <v>0.22961988870525599</v>
      </c>
      <c r="K8" s="3">
        <f>2451550.09765+$C$2*I8+0.0001337*J8*J8-0.00000015*J8*J8*J8</f>
        <v>2459936.7849672325</v>
      </c>
      <c r="L8" s="3">
        <f>(2.5534+29.10535669*I8-0.0000218*J8^2-0.00000011*J8^3)*PI()/180</f>
        <v>144.31210761206802</v>
      </c>
      <c r="M8" s="3">
        <f>(201.5643+385.81693528*I8+0.0107437*J8^2+0.00001239*J8^3-0.000000058*J8^4)*PI()/180</f>
        <v>1915.9103064662906</v>
      </c>
      <c r="N8" s="3">
        <f>(160.7108+390.67050274*I8-0.0016341*J8^2-0.00000227*J8^3+0.000000011*J8^4)*PI()/180</f>
        <v>1939.2551150578934</v>
      </c>
      <c r="O8" s="3">
        <f>(124.7746-1.5637558*I8+0.0020691*J8^2+0.00000215*J8^3)*PI()/180</f>
        <v>-5.5733937262718118</v>
      </c>
      <c r="P8" s="3">
        <f>1-0.002516*J8-0.0000074*J8^2</f>
        <v>0.99942188619284722</v>
      </c>
      <c r="Q8" s="3" t="s">
        <v>48</v>
      </c>
      <c r="S8" s="3">
        <f>-0.4072*SIN(M8)+0.17241*P8*SIN(L8)+0.01608*SIN(2*M8)+0.01039*SIN(2*N8)+0.00739*P8*SIN(M8-L8)-0.00514*P8*SIN(M8+L8)+0.00208*P8^2*SIN(2*L8)-0.00111*SIN(M8-2*N8)-0.00057*SIN(M8+2*N8)+0.00056*P8*SIN(2*M8+L8)-0.00042*SIN(3*M8)+0.00042*P8*SIN(L8+2*N8)+0.00038*P8*SIN(L8-2*N8)-0.00024*P8*SIN(2*M8-L8)-0.00017*SIN(O8)-0.00007*SIN(M8+2*L8)+0.00004*SIN(2*M8-2*N8)+0.00004*SIN(3*L8)+0.00003*SIN(M8+L8-2*N8)+0.00003*SIN(2*M8+2*N8)-0.00003*SIN(M8+L8+2*N8)+0.00003*SIN(M8-L8+2*N8)-0.00002*SIN(M8-L8-2*N8)-0.00002*SIN(3*M8+L8)+0.00002*SIN(4*M8)</f>
        <v>0.14495291241868236</v>
      </c>
      <c r="V8" s="3">
        <f>0.000325*SIN(X8)+0.000165*SIN(Y8)+0.000164*SIN(Z8)+0.000126*SIN(AA8)+0.00011*SIN(AB8)+0.000062*SIN(AC8)+0.00006*SIN(AD8)+0.000056*SIN(AE8)+0.000047*SIN(AF8)+0.000042*SIN(AG8)+0.00004*SIN(AH8)+0.000037*SIN(AI8)+0.000035*SIN(AJ8)+0.000023*SIN(AK8)</f>
        <v>-6.8718862938454658E-4</v>
      </c>
      <c r="W8" s="3">
        <f>K8+R8+S8+T8+U8+V8</f>
        <v>2459936.9292329564</v>
      </c>
      <c r="X8" s="3">
        <f>(299.77+0.107408*I8-0.009173*J8^2)*PI()/180</f>
        <v>5.7643580584408216</v>
      </c>
      <c r="Y8" s="3">
        <f>(251.88+0.016321*I8)*PI()/180</f>
        <v>4.4770341930932274</v>
      </c>
      <c r="Z8" s="3">
        <f>(251.83+26.651886*I8)*PI()/180</f>
        <v>136.50160082409286</v>
      </c>
      <c r="AA8" s="3">
        <f>(349.42+36.412478*I8)*PI()/180</f>
        <v>186.58553636675853</v>
      </c>
      <c r="AB8" s="3">
        <f>(84.66+18.206239*I8)*PI()/180</f>
        <v>91.721099191958373</v>
      </c>
      <c r="AC8" s="3">
        <f>(141.74+53.303771*I8)*PI()/180</f>
        <v>266.68650106263271</v>
      </c>
      <c r="AD8" s="3">
        <f>(207.14+2.453732*I8)*PI()/180</f>
        <v>15.777774483259977</v>
      </c>
      <c r="AE8" s="3">
        <f>(154.84+7.30686*I8)*PI()/180</f>
        <v>38.920637068753521</v>
      </c>
      <c r="AF8" s="3">
        <f>(34.52+27.261239*I8)*PI()/180</f>
        <v>135.72922721514499</v>
      </c>
      <c r="AG8" s="3">
        <f>(207.19+0.121824*I8)*PI()/180</f>
        <v>4.21999697106473</v>
      </c>
      <c r="AH8" s="3">
        <f>(291.34+1.844379*I8)*PI()/180</f>
        <v>14.22694032487818</v>
      </c>
      <c r="AI8" s="3">
        <f>(161.72+24.198154*I8)*PI()/180</f>
        <v>122.76638516444184</v>
      </c>
      <c r="AJ8" s="3">
        <f>(239.56+25.513099*I8)*PI()/180</f>
        <v>130.6427834582631</v>
      </c>
      <c r="AK8" s="3">
        <f>(331.55+3.592518*I8)*PI()/180</f>
        <v>23.593799115541106</v>
      </c>
    </row>
    <row r="9" spans="1:16378">
      <c r="A9" s="3" t="s">
        <v>51</v>
      </c>
      <c r="B9" s="9" t="s">
        <v>52</v>
      </c>
      <c r="C9" s="10">
        <f>W9-2415018.5+$D$14/24</f>
        <v>44925.056863516103</v>
      </c>
      <c r="D9" s="17"/>
      <c r="E9" s="17"/>
      <c r="G9" s="3" t="s">
        <v>50</v>
      </c>
      <c r="H9" s="12">
        <v>0.25</v>
      </c>
      <c r="I9" s="12">
        <f>$I$8+H9</f>
        <v>284.25</v>
      </c>
      <c r="J9" s="3">
        <f>I9/($C$3*100)</f>
        <v>0.22982201888897541</v>
      </c>
      <c r="K9" s="3">
        <f>2451550.09765+$C$2*I9+0.0001337*J9*J9-0.00000015*J9*J9*J9</f>
        <v>2459944.1676145252</v>
      </c>
      <c r="L9" s="3">
        <f>(2.5534+29.10535669*I9-0.0000218*J9^2-0.00000011*J9^3)*PI()/180</f>
        <v>144.43910368808457</v>
      </c>
      <c r="M9" s="3">
        <f>(201.5643+385.81693528*I9+0.0107437*J9^2+0.00001239*J9^3-0.000000058*J9^4)*PI()/180</f>
        <v>1917.5937504413589</v>
      </c>
      <c r="N9" s="3">
        <f>(160.7108+390.67050274*I9-0.0016341*J9^2-0.00000227*J9^3+0.000000011*J9^4)*PI()/180</f>
        <v>1940.9597366960522</v>
      </c>
      <c r="O9" s="3">
        <f>(124.7746-1.5637558*I9+0.0020691*J9^2+0.00000215*J9^3)*PI()/180</f>
        <v>-5.5802168947687303</v>
      </c>
      <c r="P9" s="3">
        <f>1-0.002516*J9-0.0000074*J9^2</f>
        <v>0.99942137694608857</v>
      </c>
      <c r="Q9" s="3" t="s">
        <v>51</v>
      </c>
      <c r="R9" s="3">
        <f>0.00306-0.00038*P9*COS(L9)+0.00026*COS(M9)-0.00002*COS(M9-L9)+0.00002*COS(M9+L9)+0.00002*COS(2*N9)</f>
        <v>2.7821184553039921E-3</v>
      </c>
      <c r="U9" s="3">
        <f>-0.62801*SIN(M9)+0.17172*P9*SIN(L9)-0.01183*P9*SIN(M9+L9)+0.00862*SIN(2*M9)+0.00804*SIN(2*N9)+0.00454*P9*SIN(M9-L9)+0.00204*P9^2*SIN(2*L9)-0.0018*SIN(M9-2*N9)-0.0007*SIN(M9+2*N9)-0.0004*SIN(3*M9)-0.00034*P9*SIN(2*M9-L9)+0.00032*P9*SIN(L9+2*N9)+0.00032*P9*SIN(L9-2*N9)-0.00028*P9^2*SIN(M9+2*L9)+0.00027*P9*SIN(2*M9+L9)-0.00017*SIN(O9)-0.00005*SIN(M9-L9-2*N9)+0.00004*SIN(2*M9+2*N9)-0.00004*SIN(M9+L9+2*N9)+0.00004*SIN(M9-2*L9)+0.00003*SIN(M9+L9-2*N9)+0.00003*SIN(3*L9)+0.00002*SIN(2*M9-2*N9)+0.00002*SIN(M9-L9+2*N9)-0.00002*SIN(3*M9+L9)</f>
        <v>-0.61281125136120673</v>
      </c>
      <c r="V9" s="3">
        <f>0.000325*SIN(X9)+0.000165*SIN(Y9)+0.000164*SIN(Z9)+0.000126*SIN(AA9)+0.00011*SIN(AB9)+0.000062*SIN(AC9)+0.00006*SIN(AD9)+0.000056*SIN(AE9)+0.000047*SIN(AF9)+0.000042*SIN(AG9)+0.00004*SIN(AH9)+0.000037*SIN(AI9)+0.000035*SIN(AJ9)+0.000023*SIN(AK9)</f>
        <v>-7.2187590110147748E-4</v>
      </c>
      <c r="W9" s="3">
        <f>K9+R9+S9+T9+U9+V9</f>
        <v>2459943.5568635161</v>
      </c>
      <c r="X9" s="3">
        <f>(299.77+0.107408*I9-0.009173*J9^2)*PI()/180</f>
        <v>5.7648266993836366</v>
      </c>
      <c r="Y9" s="3">
        <f>(251.88+0.016321*I9)*PI()/180</f>
        <v>4.4771054068900318</v>
      </c>
      <c r="Z9" s="3">
        <f>(251.83+26.651886*I9)*PI()/180</f>
        <v>136.61789161473439</v>
      </c>
      <c r="AA9" s="3">
        <f>(349.42+36.412478*I9)*PI()/180</f>
        <v>186.74441577423605</v>
      </c>
      <c r="AB9" s="3">
        <f>(84.66+18.206239*I9)*PI()/180</f>
        <v>91.800538895697116</v>
      </c>
      <c r="AC9" s="3">
        <f>(141.74+53.303771*I9)*PI()/180</f>
        <v>266.91908263955247</v>
      </c>
      <c r="AD9" s="3">
        <f>(207.14+2.453732*I9)*PI()/180</f>
        <v>15.788480908850364</v>
      </c>
      <c r="AE9" s="3">
        <f>(154.84+7.30686*I9)*PI()/180</f>
        <v>38.952519259999086</v>
      </c>
      <c r="AF9" s="3">
        <f>(34.52+27.261239*I9)*PI()/180</f>
        <v>135.84817680982576</v>
      </c>
      <c r="AG9" s="3">
        <f>(207.19+0.121824*I9)*PI()/180</f>
        <v>4.2205285285417169</v>
      </c>
      <c r="AH9" s="3">
        <f>(291.34+1.844379*I9)*PI()/180</f>
        <v>14.234987946429341</v>
      </c>
      <c r="AI9" s="3">
        <f>(161.72+24.198154*I9)*PI()/180</f>
        <v>122.87196952949299</v>
      </c>
      <c r="AJ9" s="3">
        <f>(239.56+25.513099*I9)*PI()/180</f>
        <v>130.75410535324741</v>
      </c>
      <c r="AK9" s="3">
        <f>(331.55+3.592518*I9)*PI()/180</f>
        <v>23.609474432425401</v>
      </c>
    </row>
    <row r="10" spans="1:16378">
      <c r="A10" s="3" t="s">
        <v>53</v>
      </c>
      <c r="B10" s="9" t="s">
        <v>54</v>
      </c>
      <c r="C10" s="10">
        <f>W10-2415018.5+$D$14/24</f>
        <v>44932.964771042578</v>
      </c>
      <c r="D10" s="18"/>
      <c r="E10" s="17"/>
      <c r="G10" s="3" t="s">
        <v>50</v>
      </c>
      <c r="H10" s="12">
        <v>0.5</v>
      </c>
      <c r="I10" s="12">
        <f>$I$8+H10</f>
        <v>284.5</v>
      </c>
      <c r="J10" s="3">
        <f>I10/($C$3*100)</f>
        <v>0.23002414907269483</v>
      </c>
      <c r="K10" s="3">
        <f>2451550.09765+$C$2*I10+0.0001337*J10*J10-0.00000015*J10*J10*J10</f>
        <v>2459951.5502618179</v>
      </c>
      <c r="L10" s="3">
        <f>(2.5534+29.10535669*I10-0.0000218*J10^2-0.00000011*J10^3)*PI()/180</f>
        <v>144.56609976410112</v>
      </c>
      <c r="M10" s="3">
        <f>(201.5643+385.81693528*I10+0.0107437*J10^2+0.00001239*J10^3-0.000000058*J10^4)*PI()/180</f>
        <v>1919.2771944164424</v>
      </c>
      <c r="N10" s="3">
        <f>(160.7108+390.67050274*I10-0.0016341*J10^2-0.00000227*J10^3+0.000000011*J10^4)*PI()/180</f>
        <v>1942.6643583342084</v>
      </c>
      <c r="O10" s="3">
        <f>(124.7746-1.5637558*I10+0.0020691*J10^2+0.00000215*J10^3)*PI()/180</f>
        <v>-5.587040063262692</v>
      </c>
      <c r="P10" s="3">
        <f>1-0.002516*J10-0.0000074*J10^2</f>
        <v>0.99942086769872529</v>
      </c>
      <c r="Q10" s="3" t="s">
        <v>53</v>
      </c>
      <c r="T10" s="3">
        <f>-0.40614*SIN(M10)+0.17302*P10*SIN(L10)+0.01614*SIN(2*M10)+0.01043*SIN(2*N10)+0.00734*P10*SIN(M10-L10)-0.00515*P10*SIN(M10+L10)+0.00209*P10^2*SIN(2*L10)-0.00111*SIN(M10-2*N10)-0.00057*SIN(M10+2*N10)+0.00056*P10*SIN(2*M10+L10)-0.00042*SIN(3*M10)+0.00042*P10*SIN(L10+2*N10)+0.00038*P10*SIN(L10-2*N10)-0.00024*P10*SIN(2*M10-L10)-0.00017*SIN(O10)-0.00007*SIN(M10+2*L10)+0.00004*SIN(2*M10-2*N10)+0.00004*SIN(3*L10)+0.00003*SIN(M10+L10-2*N10)+0.00003*SIN(2*M10+2*N10)-0.00003*SIN(M10+L10+2*N10)+0.00003*SIN(M10-L10+2*N10)-0.00002*SIN(M10-L10-2*N10)-0.00002*SIN(3*M10+L10)+0.00002*SIN(4*M10)</f>
        <v>-8.4740555281131794E-2</v>
      </c>
      <c r="V10" s="3">
        <f>0.000325*SIN(X10)+0.000165*SIN(Y10)+0.000164*SIN(Z10)+0.000126*SIN(AA10)+0.00011*SIN(AB10)+0.000062*SIN(AC10)+0.00006*SIN(AD10)+0.000056*SIN(AE10)+0.000047*SIN(AF10)+0.000042*SIN(AG10)+0.00004*SIN(AH10)+0.000037*SIN(AI10)+0.000035*SIN(AJ10)+0.000023*SIN(AK10)</f>
        <v>-7.5021973855523357E-4</v>
      </c>
      <c r="W10" s="3">
        <f>K10+R10+S10+T10+U10+V10</f>
        <v>2459951.4647710426</v>
      </c>
      <c r="X10" s="3">
        <f>(299.77+0.107408*I10-0.009173*J10^2)*PI()/180</f>
        <v>5.7652953403133687</v>
      </c>
      <c r="Y10" s="3">
        <f>(251.88+0.016321*I10)*PI()/180</f>
        <v>4.4771766206868371</v>
      </c>
      <c r="Z10" s="3">
        <f>(251.83+26.651886*I10)*PI()/180</f>
        <v>136.73418240537595</v>
      </c>
      <c r="AA10" s="3">
        <f>(349.42+36.412478*I10)*PI()/180</f>
        <v>186.9032951817135</v>
      </c>
      <c r="AB10" s="3">
        <f>(84.66+18.206239*I10)*PI()/180</f>
        <v>91.879978599435873</v>
      </c>
      <c r="AC10" s="3">
        <f>(141.74+53.303771*I10)*PI()/180</f>
        <v>267.15166421647223</v>
      </c>
      <c r="AD10" s="3">
        <f>(207.14+2.453732*I10)*PI()/180</f>
        <v>15.799187334440749</v>
      </c>
      <c r="AE10" s="3">
        <f>(154.84+7.30686*I10)*PI()/180</f>
        <v>38.984401451244658</v>
      </c>
      <c r="AF10" s="3">
        <f>(34.52+27.261239*I10)*PI()/180</f>
        <v>135.96712640450653</v>
      </c>
      <c r="AG10" s="3">
        <f>(207.19+0.121824*I10)*PI()/180</f>
        <v>4.2210600860187046</v>
      </c>
      <c r="AH10" s="3">
        <f>(291.34+1.844379*I10)*PI()/180</f>
        <v>14.243035567980501</v>
      </c>
      <c r="AI10" s="3">
        <f>(161.72+24.198154*I10)*PI()/180</f>
        <v>122.97755389454414</v>
      </c>
      <c r="AJ10" s="3">
        <f>(239.56+25.513099*I10)*PI()/180</f>
        <v>130.86542724823173</v>
      </c>
      <c r="AK10" s="3">
        <f>(331.55+3.592518*I10)*PI()/180</f>
        <v>23.625149749309685</v>
      </c>
    </row>
    <row r="11" spans="1:16378">
      <c r="A11" s="3" t="s">
        <v>55</v>
      </c>
      <c r="B11" s="9" t="s">
        <v>56</v>
      </c>
      <c r="C11" s="10">
        <f>W11-2415018.5+$D$14/24</f>
        <v>44941.091443458572</v>
      </c>
      <c r="D11" s="17"/>
      <c r="E11" s="17"/>
      <c r="G11" s="3" t="s">
        <v>50</v>
      </c>
      <c r="H11" s="12">
        <v>0.75</v>
      </c>
      <c r="I11" s="12">
        <f>$I$8+H11</f>
        <v>284.75</v>
      </c>
      <c r="J11" s="3">
        <f>I11/($C$3*100)</f>
        <v>0.23022627925641423</v>
      </c>
      <c r="K11" s="3">
        <f>2451550.09765+$C$2*I11+0.0001337*J11*J11-0.00000015*J11*J11*J11</f>
        <v>2459958.9329091101</v>
      </c>
      <c r="L11" s="3">
        <f>(2.5534+29.10535669*I11-0.0000218*J11^2-0.00000011*J11^3)*PI()/180</f>
        <v>144.69309584011765</v>
      </c>
      <c r="M11" s="3">
        <f>(201.5643+385.81693528*I11+0.0107437*J11^2+0.00001239*J11^3-0.000000058*J11^4)*PI()/180</f>
        <v>1920.9606383915411</v>
      </c>
      <c r="N11" s="3">
        <f>(160.7108+390.67050274*I11-0.0016341*J11^2-0.00000227*J11^3+0.000000011*J11^4)*PI()/180</f>
        <v>1944.3689799723627</v>
      </c>
      <c r="O11" s="3">
        <f>(124.7746-1.5637558*I11+0.0020691*J11^2+0.00000215*J11^3)*PI()/180</f>
        <v>-5.5938632317537031</v>
      </c>
      <c r="P11" s="3">
        <f>1-0.002516*J11-0.0000074*J11^2</f>
        <v>0.99942035845075738</v>
      </c>
      <c r="Q11" s="3" t="s">
        <v>55</v>
      </c>
      <c r="R11" s="3">
        <f>-(0.00306-0.00038*P11*COS(L11)+0.00026*COS(M11)-0.00002*COS(M11-L11)+0.00002*COS(M11+L11)+0.00002*COS(2*N11))</f>
        <v>-2.6784874704955477E-3</v>
      </c>
      <c r="U11" s="3">
        <f>-0.62801*SIN(M11)+0.17172*P11*SIN(L11)-0.01183*P11*SIN(M11+L11)+0.00862*SIN(2*M11)+0.00804*SIN(2*N11)+0.00454*P11*SIN(M11-L11)+0.00204*P11^2*SIN(2*L11)-0.0018*SIN(M11-2*N11)-0.0007*SIN(M11+2*N11)-0.0004*SIN(3*M11)-0.00034*P11*SIN(2*M11-L11)+0.00032*P11*SIN(L11+2*N11)+0.00032*P11*SIN(L11-2*N11)-0.00028*P11^2*SIN(M11+2*L11)+0.00027*P11*SIN(2*M11+L11)-0.00017*SIN(O11)-0.00005*SIN(M11-L11-2*N11)+0.00004*SIN(2*M11+2*N11)-0.00004*SIN(M11+L11+2*N11)+0.00004*SIN(M11-2*L11)+0.00003*SIN(M11+L11-2*N11)+0.00003*SIN(3*L11)+0.00002*SIN(2*M11-2*N11)+0.00002*SIN(M11-L11+2*N11)-0.00002*SIN(3*M11+L11)</f>
        <v>0.66198412098006687</v>
      </c>
      <c r="V11" s="3">
        <f>0.000325*SIN(X11)+0.000165*SIN(Y11)+0.000164*SIN(Z11)+0.000126*SIN(AA11)+0.00011*SIN(AB11)+0.000062*SIN(AC11)+0.00006*SIN(AD11)+0.000056*SIN(AE11)+0.000047*SIN(AF11)+0.000042*SIN(AG11)+0.00004*SIN(AH11)+0.000037*SIN(AI11)+0.000035*SIN(AJ11)+0.000023*SIN(AK11)</f>
        <v>-7.7128481520276143E-4</v>
      </c>
      <c r="W11" s="3">
        <f>K11+R11+S11+T11+U11+V11</f>
        <v>2459959.5914434586</v>
      </c>
      <c r="X11" s="3">
        <f>(299.77+0.107408*I11-0.009173*J11^2)*PI()/180</f>
        <v>5.7657639812300188</v>
      </c>
      <c r="Y11" s="3">
        <f>(251.88+0.016321*I11)*PI()/180</f>
        <v>4.4772478344836415</v>
      </c>
      <c r="Z11" s="3">
        <f>(251.83+26.651886*I11)*PI()/180</f>
        <v>136.85047319601748</v>
      </c>
      <c r="AA11" s="3">
        <f>(349.42+36.412478*I11)*PI()/180</f>
        <v>187.06217458919102</v>
      </c>
      <c r="AB11" s="3">
        <f>(84.66+18.206239*I11)*PI()/180</f>
        <v>91.95941830317463</v>
      </c>
      <c r="AC11" s="3">
        <f>(141.74+53.303771*I11)*PI()/180</f>
        <v>267.38424579339204</v>
      </c>
      <c r="AD11" s="3">
        <f>(207.14+2.453732*I11)*PI()/180</f>
        <v>15.809893760031136</v>
      </c>
      <c r="AE11" s="3">
        <f>(154.84+7.30686*I11)*PI()/180</f>
        <v>39.016283642490222</v>
      </c>
      <c r="AF11" s="3">
        <f>(34.52+27.261239*I11)*PI()/180</f>
        <v>136.0860759991873</v>
      </c>
      <c r="AG11" s="3">
        <f>(207.19+0.121824*I11)*PI()/180</f>
        <v>4.2215916434956924</v>
      </c>
      <c r="AH11" s="3">
        <f>(291.34+1.844379*I11)*PI()/180</f>
        <v>14.251083189531659</v>
      </c>
      <c r="AI11" s="3">
        <f>(161.72+24.198154*I11)*PI()/180</f>
        <v>123.08313825959532</v>
      </c>
      <c r="AJ11" s="3">
        <f>(239.56+25.513099*I11)*PI()/180</f>
        <v>130.97674914321604</v>
      </c>
      <c r="AK11" s="3">
        <f>(331.55+3.592518*I11)*PI()/180</f>
        <v>23.64082506619398</v>
      </c>
    </row>
    <row r="12" spans="1:16378">
      <c r="A12" s="3" t="s">
        <v>48</v>
      </c>
      <c r="B12" s="9" t="s">
        <v>49</v>
      </c>
      <c r="C12" s="10">
        <f>W12-2415018.5+$D$14/24</f>
        <v>44947.871163546573</v>
      </c>
      <c r="D12" s="19"/>
      <c r="E12" s="17"/>
      <c r="G12" s="3">
        <f>C12-C8</f>
        <v>29.441930590197444</v>
      </c>
      <c r="H12" s="12">
        <v>1</v>
      </c>
      <c r="I12" s="12">
        <f>$I$8+H12</f>
        <v>285</v>
      </c>
      <c r="J12" s="3">
        <f>I12/($C$3*100)</f>
        <v>0.23042840944013365</v>
      </c>
      <c r="K12" s="3">
        <f>2451550.09765+$C$2*I12+0.0001337*J12*J12-0.00000015*J12*J12*J12</f>
        <v>2459966.3155564028</v>
      </c>
      <c r="L12" s="3">
        <f>(2.5534+29.10535669*I12-0.0000218*J12^2-0.00000011*J12^3)*PI()/180</f>
        <v>144.82009191613409</v>
      </c>
      <c r="M12" s="3">
        <f>(201.5643+385.81693528*I12+0.0107437*J12^2+0.00001239*J12^3-0.000000058*J12^4)*PI()/180</f>
        <v>1922.6440823666553</v>
      </c>
      <c r="N12" s="3">
        <f>(160.7108+390.67050274*I12-0.0016341*J12^2-0.00000227*J12^3+0.000000011*J12^4)*PI()/180</f>
        <v>1946.0736016105143</v>
      </c>
      <c r="O12" s="3">
        <f>(124.7746-1.5637558*I12+0.0020691*J12^2+0.00000215*J12^3)*PI()/180</f>
        <v>-5.6006864002417611</v>
      </c>
      <c r="P12" s="3">
        <f>1-0.002516*J12-0.0000074*J12^2</f>
        <v>0.99941984920218474</v>
      </c>
      <c r="Q12" s="3" t="s">
        <v>48</v>
      </c>
      <c r="S12" s="3">
        <f>-0.4072*SIN(M12)+0.17241*P12*SIN(L12)+0.01608*SIN(2*M12)+0.01039*SIN(2*N12)+0.00739*P12*SIN(M12-L12)-0.00514*P12*SIN(M12+L12)+0.00208*P12^2*SIN(2*L12)-0.00111*SIN(M12-2*N12)-0.00057*SIN(M12+2*N12)+0.00056*P12*SIN(2*M12+L12)-0.00042*SIN(3*M12)+0.00042*P12*SIN(L12+2*N12)+0.00038*P12*SIN(L12-2*N12)-0.00024*P12*SIN(2*M12-L12)-0.00017*SIN(O12)-0.00007*SIN(M12+2*L12)+0.00004*SIN(2*M12-2*N12)+0.00004*SIN(3*L12)+0.00003*SIN(M12+L12-2*N12)+0.00003*SIN(2*M12+2*N12)-0.00003*SIN(M12+L12+2*N12)+0.00003*SIN(M12-L12+2*N12)-0.00002*SIN(M12-L12-2*N12)-0.00002*SIN(3*M12+L12)+0.00002*SIN(4*M12)</f>
        <v>5.6391427385334827E-2</v>
      </c>
      <c r="V12" s="3">
        <f>0.000325*SIN(X12)+0.000165*SIN(Y12)+0.000164*SIN(Z12)+0.000126*SIN(AA12)+0.00011*SIN(AB12)+0.000062*SIN(AC12)+0.00006*SIN(AD12)+0.000056*SIN(AE12)+0.000047*SIN(AF12)+0.000042*SIN(AG12)+0.00004*SIN(AH12)+0.000037*SIN(AI12)+0.000035*SIN(AJ12)+0.000023*SIN(AK12)</f>
        <v>-7.8428342224167347E-4</v>
      </c>
      <c r="W12" s="3">
        <f>K12+R12+S12+T12+U12+V12</f>
        <v>2459966.3711635466</v>
      </c>
      <c r="X12" s="3">
        <f>(299.77+0.107408*I12-0.009173*J12^2)*PI()/180</f>
        <v>5.7662326221335878</v>
      </c>
      <c r="Y12" s="3">
        <f>(251.88+0.016321*I12)*PI()/180</f>
        <v>4.477319048280445</v>
      </c>
      <c r="Z12" s="3">
        <f>(251.83+26.651886*I12)*PI()/180</f>
        <v>136.96676398665903</v>
      </c>
      <c r="AA12" s="3">
        <f>(349.42+36.412478*I12)*PI()/180</f>
        <v>187.22105399666856</v>
      </c>
      <c r="AB12" s="3">
        <f>(84.66+18.206239*I12)*PI()/180</f>
        <v>92.038858006913358</v>
      </c>
      <c r="AC12" s="3">
        <f>(141.74+53.303771*I12)*PI()/180</f>
        <v>267.6168273703118</v>
      </c>
      <c r="AD12" s="3">
        <f>(207.14+2.453732*I12)*PI()/180</f>
        <v>15.820600185621522</v>
      </c>
      <c r="AE12" s="3">
        <f>(154.84+7.30686*I12)*PI()/180</f>
        <v>39.048165833735794</v>
      </c>
      <c r="AF12" s="3">
        <f>(34.52+27.261239*I12)*PI()/180</f>
        <v>136.2050255938681</v>
      </c>
      <c r="AG12" s="3">
        <f>(207.19+0.121824*I12)*PI()/180</f>
        <v>4.2221232009726792</v>
      </c>
      <c r="AH12" s="3">
        <f>(291.34+1.844379*I12)*PI()/180</f>
        <v>14.259130811082819</v>
      </c>
      <c r="AI12" s="3">
        <f>(161.72+24.198154*I12)*PI()/180</f>
        <v>123.18872262464647</v>
      </c>
      <c r="AJ12" s="3">
        <f>(239.56+25.513099*I12)*PI()/180</f>
        <v>131.08807103820035</v>
      </c>
      <c r="AK12" s="3">
        <f>(331.55+3.592518*I12)*PI()/180</f>
        <v>23.656500383078271</v>
      </c>
    </row>
    <row r="13" spans="1:16378">
      <c r="B13" s="9"/>
      <c r="C13" s="10"/>
      <c r="D13" s="16"/>
      <c r="E13" s="17"/>
      <c r="H13" s="12"/>
      <c r="I13" s="12"/>
    </row>
    <row r="14" spans="1:16378">
      <c r="A14" s="5" t="s">
        <v>57</v>
      </c>
      <c r="B14" s="21">
        <v>44927</v>
      </c>
      <c r="C14" s="15" t="s">
        <v>58</v>
      </c>
      <c r="D14" s="5">
        <v>0</v>
      </c>
      <c r="E14" s="24" t="s">
        <v>59</v>
      </c>
      <c r="H14" s="25" t="s">
        <v>60</v>
      </c>
      <c r="I14" s="12"/>
      <c r="J14" s="26" t="s">
        <v>61</v>
      </c>
    </row>
    <row r="15" spans="1:16378">
      <c r="B15" s="42">
        <f>YEAR(B14)</f>
        <v>2023</v>
      </c>
      <c r="C15" s="10"/>
      <c r="D15" s="18"/>
      <c r="E15" s="17"/>
      <c r="H15" s="12"/>
      <c r="I15" s="12"/>
    </row>
    <row r="16" spans="1:16378">
      <c r="A16" s="4" t="s">
        <v>62</v>
      </c>
      <c r="B16" s="9"/>
      <c r="C16" s="12">
        <f>B14-C6</f>
        <v>8401</v>
      </c>
      <c r="D16" s="13" t="s">
        <v>63</v>
      </c>
      <c r="E16" s="4" t="s">
        <v>64</v>
      </c>
      <c r="G16" s="12">
        <f>C16/C1</f>
        <v>23.001175716544758</v>
      </c>
      <c r="H16" s="20" t="s">
        <v>65</v>
      </c>
      <c r="I16" s="4" t="s">
        <v>66</v>
      </c>
      <c r="N16" s="22">
        <f>INT(G16*C3)</f>
        <v>284</v>
      </c>
    </row>
    <row r="17" spans="2:16" ht="15" thickTop="1" thickBot="1">
      <c r="B17" s="9"/>
      <c r="H17" s="12"/>
      <c r="I17" s="12"/>
    </row>
    <row r="18" spans="2:16">
      <c r="B18" s="31">
        <f>C8</f>
        <v>44918.429232956376</v>
      </c>
      <c r="C18" s="10" t="s">
        <v>67</v>
      </c>
      <c r="D18" s="11"/>
      <c r="H18" s="12"/>
      <c r="I18" s="60" t="s">
        <v>97</v>
      </c>
      <c r="J18" s="48"/>
      <c r="K18" s="48"/>
      <c r="L18" s="48"/>
      <c r="M18" s="48"/>
      <c r="N18" s="48"/>
      <c r="O18" s="48"/>
      <c r="P18" s="49"/>
    </row>
    <row r="19" spans="2:16">
      <c r="B19" s="9"/>
      <c r="C19" s="10"/>
      <c r="D19" s="66">
        <f>B20-B18</f>
        <v>6.6276305597275496</v>
      </c>
      <c r="E19" s="66"/>
      <c r="H19" s="12"/>
      <c r="I19" s="50"/>
      <c r="J19" s="51"/>
      <c r="K19" s="51"/>
      <c r="L19" s="51"/>
      <c r="M19" s="51"/>
      <c r="N19" s="51"/>
      <c r="O19" s="51"/>
      <c r="P19" s="52"/>
    </row>
    <row r="20" spans="2:16">
      <c r="B20" s="31">
        <f>C9</f>
        <v>44925.056863516103</v>
      </c>
      <c r="C20" s="10" t="s">
        <v>70</v>
      </c>
      <c r="F20" s="3">
        <f>B22-B18</f>
        <v>14.535538086201996</v>
      </c>
      <c r="H20" s="12"/>
      <c r="I20" s="53" t="s">
        <v>101</v>
      </c>
      <c r="J20" s="51"/>
      <c r="K20" s="51"/>
      <c r="L20" s="51"/>
      <c r="M20" s="51"/>
      <c r="N20" s="51"/>
      <c r="O20" s="51"/>
      <c r="P20" s="52"/>
    </row>
    <row r="21" spans="2:16">
      <c r="B21" s="9"/>
      <c r="C21" s="10"/>
      <c r="D21" s="66">
        <f>B22-B20</f>
        <v>7.9079075264744461</v>
      </c>
      <c r="E21" s="66"/>
      <c r="H21" s="12"/>
      <c r="I21" s="53" t="s">
        <v>103</v>
      </c>
      <c r="J21" s="51"/>
      <c r="K21" s="51"/>
      <c r="L21" s="51"/>
      <c r="M21" s="51"/>
      <c r="N21" s="51"/>
      <c r="O21" s="51"/>
      <c r="P21" s="52"/>
    </row>
    <row r="22" spans="2:16">
      <c r="B22" s="31">
        <f>C10</f>
        <v>44932.964771042578</v>
      </c>
      <c r="C22" s="10" t="s">
        <v>72</v>
      </c>
      <c r="D22" s="11"/>
      <c r="H22" s="12"/>
      <c r="I22" s="53" t="s">
        <v>102</v>
      </c>
      <c r="J22" s="51"/>
      <c r="K22" s="51"/>
      <c r="L22" s="51"/>
      <c r="M22" s="51"/>
      <c r="N22" s="51"/>
      <c r="O22" s="51"/>
      <c r="P22" s="52"/>
    </row>
    <row r="23" spans="2:16">
      <c r="B23" s="9"/>
      <c r="C23" s="10"/>
      <c r="D23" s="66">
        <f>B24-B22</f>
        <v>8.1266724159941077</v>
      </c>
      <c r="E23" s="66"/>
      <c r="H23" s="12"/>
      <c r="I23" s="54"/>
      <c r="J23" s="51"/>
      <c r="K23" s="51"/>
      <c r="L23" s="51"/>
      <c r="M23" s="51"/>
      <c r="N23" s="51"/>
      <c r="O23" s="51"/>
      <c r="P23" s="52"/>
    </row>
    <row r="24" spans="2:16" ht="15.75">
      <c r="B24" s="31">
        <f>C11</f>
        <v>44941.091443458572</v>
      </c>
      <c r="C24" s="10" t="s">
        <v>73</v>
      </c>
      <c r="D24" s="11"/>
      <c r="F24" s="3">
        <f>B26-B22</f>
        <v>14.906392503995448</v>
      </c>
      <c r="H24" s="12"/>
      <c r="I24" s="55" t="s">
        <v>68</v>
      </c>
      <c r="J24" s="51"/>
      <c r="K24" s="51"/>
      <c r="L24" s="51"/>
      <c r="M24" s="51"/>
      <c r="N24" s="51"/>
      <c r="O24" s="51"/>
      <c r="P24" s="52"/>
    </row>
    <row r="25" spans="2:16" ht="15">
      <c r="B25" s="9"/>
      <c r="C25" s="10"/>
      <c r="D25" s="66">
        <f>B26-B24</f>
        <v>6.7797200880013406</v>
      </c>
      <c r="E25" s="66"/>
      <c r="H25" s="12"/>
      <c r="I25" s="56" t="s">
        <v>69</v>
      </c>
      <c r="J25" s="51"/>
      <c r="K25" s="51"/>
      <c r="L25" s="51"/>
      <c r="M25" s="51"/>
      <c r="N25" s="51"/>
      <c r="O25" s="51"/>
      <c r="P25" s="52"/>
    </row>
    <row r="26" spans="2:16" ht="15">
      <c r="B26" s="31">
        <f>C12</f>
        <v>44947.871163546573</v>
      </c>
      <c r="C26" s="10" t="s">
        <v>67</v>
      </c>
      <c r="D26" s="11"/>
      <c r="H26" s="12"/>
      <c r="I26" s="57" t="s">
        <v>71</v>
      </c>
      <c r="J26" s="51"/>
      <c r="K26" s="51"/>
      <c r="L26" s="51"/>
      <c r="M26" s="51"/>
      <c r="N26" s="51"/>
      <c r="O26" s="51"/>
      <c r="P26" s="52"/>
    </row>
    <row r="27" spans="2:16" ht="15">
      <c r="B27" s="9"/>
      <c r="C27" s="10"/>
      <c r="D27" s="11"/>
      <c r="H27" s="12"/>
      <c r="I27" s="57" t="s">
        <v>98</v>
      </c>
      <c r="J27" s="51"/>
      <c r="K27" s="51"/>
      <c r="L27" s="51"/>
      <c r="M27" s="51"/>
      <c r="N27" s="51"/>
      <c r="O27" s="51"/>
      <c r="P27" s="52"/>
    </row>
    <row r="28" spans="2:16">
      <c r="B28" s="9"/>
      <c r="C28" s="32" t="s">
        <v>74</v>
      </c>
      <c r="D28" s="67">
        <f>SUM(D18:E26)</f>
        <v>29.441930590197444</v>
      </c>
      <c r="E28" s="66"/>
      <c r="F28" s="33">
        <f>SUM(F18:F26)</f>
        <v>29.441930590197444</v>
      </c>
      <c r="G28" s="4"/>
      <c r="H28" s="12"/>
      <c r="I28" s="61" t="s">
        <v>99</v>
      </c>
      <c r="J28" s="51"/>
      <c r="K28" s="51"/>
      <c r="L28" s="51"/>
      <c r="M28" s="51"/>
      <c r="N28" s="51"/>
      <c r="O28" s="51"/>
      <c r="P28" s="52"/>
    </row>
    <row r="29" spans="2:16">
      <c r="B29" s="9"/>
      <c r="C29" s="10"/>
      <c r="D29" s="11"/>
      <c r="H29" s="12"/>
      <c r="I29" s="54"/>
      <c r="J29" s="51"/>
      <c r="K29" s="51"/>
      <c r="L29" s="51"/>
      <c r="M29" s="51"/>
      <c r="N29" s="51"/>
      <c r="O29" s="51"/>
      <c r="P29" s="52"/>
    </row>
    <row r="30" spans="2:16" ht="14.25" thickBot="1">
      <c r="B30" s="9"/>
      <c r="C30" s="10"/>
      <c r="D30" s="11"/>
      <c r="H30" s="12"/>
      <c r="I30" s="62" t="s">
        <v>100</v>
      </c>
      <c r="J30" s="58"/>
      <c r="K30" s="58"/>
      <c r="L30" s="58"/>
      <c r="M30" s="58"/>
      <c r="N30" s="58"/>
      <c r="O30" s="58"/>
      <c r="P30" s="59"/>
    </row>
    <row r="31" spans="2:16">
      <c r="B31" s="9"/>
      <c r="C31" s="10"/>
      <c r="D31" s="11"/>
      <c r="H31" s="12"/>
      <c r="I31" s="12"/>
    </row>
    <row r="32" spans="2:16">
      <c r="B32" s="9"/>
      <c r="C32" s="10"/>
      <c r="D32" s="11"/>
      <c r="H32" s="12"/>
      <c r="I32" s="46" t="s">
        <v>104</v>
      </c>
    </row>
    <row r="33" spans="2:9">
      <c r="B33" s="9"/>
      <c r="C33" s="10"/>
      <c r="D33" s="11"/>
      <c r="H33" s="12"/>
      <c r="I33" s="46" t="s">
        <v>105</v>
      </c>
    </row>
    <row r="34" spans="2:9">
      <c r="B34" s="9"/>
      <c r="C34" s="10"/>
      <c r="D34" s="11"/>
      <c r="H34" s="12"/>
      <c r="I34" s="47" t="s">
        <v>106</v>
      </c>
    </row>
    <row r="35" spans="2:9">
      <c r="B35" s="9"/>
      <c r="C35" s="10"/>
      <c r="D35" s="11"/>
      <c r="H35" s="12"/>
      <c r="I35" s="12"/>
    </row>
    <row r="36" spans="2:9">
      <c r="B36" s="9"/>
      <c r="C36" s="10"/>
      <c r="D36" s="11"/>
      <c r="H36" s="12"/>
      <c r="I36" s="12"/>
    </row>
    <row r="37" spans="2:9">
      <c r="B37" s="9"/>
      <c r="C37" s="10"/>
      <c r="D37" s="11"/>
      <c r="H37" s="12"/>
      <c r="I37" s="12"/>
    </row>
    <row r="38" spans="2:9">
      <c r="B38" s="9"/>
      <c r="C38" s="10"/>
      <c r="D38" s="11"/>
      <c r="H38" s="12"/>
      <c r="I38" s="12"/>
    </row>
    <row r="39" spans="2:9">
      <c r="B39" s="9"/>
      <c r="C39" s="10"/>
      <c r="D39" s="11"/>
      <c r="H39" s="12"/>
      <c r="I39" s="12"/>
    </row>
    <row r="40" spans="2:9">
      <c r="B40" s="9"/>
      <c r="C40" s="10"/>
      <c r="D40" s="11"/>
      <c r="H40" s="12"/>
      <c r="I40" s="12"/>
    </row>
    <row r="41" spans="2:9">
      <c r="B41" s="9"/>
      <c r="C41" s="10"/>
      <c r="D41" s="11"/>
      <c r="H41" s="12"/>
      <c r="I41" s="12"/>
    </row>
    <row r="42" spans="2:9">
      <c r="B42" s="9"/>
      <c r="C42" s="10"/>
      <c r="D42" s="11"/>
      <c r="H42" s="12"/>
      <c r="I42" s="12"/>
    </row>
    <row r="43" spans="2:9">
      <c r="B43" s="9"/>
      <c r="C43" s="10"/>
      <c r="D43" s="11"/>
      <c r="H43" s="12"/>
      <c r="I43" s="12"/>
    </row>
    <row r="44" spans="2:9">
      <c r="B44" s="9"/>
      <c r="C44" s="10"/>
      <c r="D44" s="11"/>
      <c r="H44" s="12"/>
      <c r="I44" s="12"/>
    </row>
    <row r="45" spans="2:9">
      <c r="B45" s="9"/>
      <c r="C45" s="10"/>
      <c r="D45" s="11"/>
      <c r="H45" s="12"/>
      <c r="I45" s="12"/>
    </row>
    <row r="46" spans="2:9">
      <c r="B46" s="9"/>
      <c r="C46" s="10"/>
      <c r="D46" s="11"/>
      <c r="H46" s="12"/>
      <c r="I46" s="12"/>
    </row>
    <row r="47" spans="2:9">
      <c r="B47" s="9"/>
      <c r="C47" s="10"/>
      <c r="D47" s="11"/>
      <c r="H47" s="12"/>
      <c r="I47" s="12"/>
    </row>
    <row r="48" spans="2:9">
      <c r="B48" s="9"/>
      <c r="C48" s="10"/>
      <c r="D48" s="11"/>
      <c r="H48" s="12"/>
      <c r="I48" s="12"/>
    </row>
    <row r="49" spans="2:9">
      <c r="B49" s="9"/>
      <c r="C49" s="10"/>
      <c r="D49" s="11"/>
      <c r="H49" s="12"/>
      <c r="I49" s="12"/>
    </row>
    <row r="50" spans="2:9">
      <c r="B50" s="9"/>
      <c r="C50" s="10"/>
      <c r="D50" s="11"/>
      <c r="H50" s="12"/>
      <c r="I50" s="12"/>
    </row>
    <row r="51" spans="2:9">
      <c r="B51" s="9"/>
      <c r="C51" s="10"/>
      <c r="D51" s="11"/>
      <c r="H51" s="12"/>
      <c r="I51" s="12"/>
    </row>
    <row r="52" spans="2:9">
      <c r="B52" s="9"/>
      <c r="C52" s="10"/>
      <c r="D52" s="11"/>
      <c r="H52" s="12"/>
      <c r="I52" s="12"/>
    </row>
    <row r="53" spans="2:9">
      <c r="B53" s="9"/>
      <c r="C53" s="10"/>
      <c r="D53" s="11"/>
      <c r="H53" s="12"/>
      <c r="I53" s="12"/>
    </row>
    <row r="54" spans="2:9" ht="17.25" customHeight="1">
      <c r="B54" s="9"/>
      <c r="C54" s="10"/>
      <c r="D54" s="11"/>
      <c r="H54" s="12"/>
      <c r="I54" s="12"/>
    </row>
    <row r="55" spans="2:9">
      <c r="B55" s="9"/>
      <c r="C55" s="10"/>
      <c r="D55" s="11"/>
      <c r="H55" s="12"/>
      <c r="I55" s="12"/>
    </row>
    <row r="56" spans="2:9">
      <c r="B56" s="9"/>
      <c r="C56" s="10"/>
      <c r="D56" s="11"/>
      <c r="H56" s="12"/>
      <c r="I56" s="12"/>
    </row>
    <row r="57" spans="2:9" ht="17.25" customHeight="1">
      <c r="B57" s="9"/>
      <c r="C57" s="10"/>
      <c r="D57" s="11"/>
      <c r="H57" s="12"/>
      <c r="I57" s="12"/>
    </row>
    <row r="58" spans="2:9" ht="17.25" customHeight="1">
      <c r="B58" s="9"/>
      <c r="C58" s="10"/>
      <c r="D58" s="11"/>
      <c r="H58" s="12"/>
      <c r="I58" s="12"/>
    </row>
    <row r="59" spans="2:9" ht="17.25" customHeight="1">
      <c r="B59" s="9"/>
      <c r="C59" s="10"/>
      <c r="D59" s="11"/>
      <c r="H59" s="12"/>
      <c r="I59" s="12"/>
    </row>
    <row r="60" spans="2:9" ht="17.25" customHeight="1">
      <c r="C60" s="10"/>
      <c r="H60" s="12"/>
      <c r="I60" s="12"/>
    </row>
  </sheetData>
  <mergeCells count="42">
    <mergeCell ref="D19:E19"/>
    <mergeCell ref="D21:E21"/>
    <mergeCell ref="D23:E23"/>
    <mergeCell ref="D25:E25"/>
    <mergeCell ref="D28:E28"/>
    <mergeCell ref="AJ1:AJ6"/>
    <mergeCell ref="AK1:AK6"/>
    <mergeCell ref="D2:E2"/>
    <mergeCell ref="D3:E3"/>
    <mergeCell ref="D4:E4"/>
    <mergeCell ref="D5:E5"/>
    <mergeCell ref="D6:E6"/>
    <mergeCell ref="AE1:AE6"/>
    <mergeCell ref="AF1:AF6"/>
    <mergeCell ref="AG1:AG6"/>
    <mergeCell ref="AH1:AH6"/>
    <mergeCell ref="AI1:AI6"/>
    <mergeCell ref="Z1:Z6"/>
    <mergeCell ref="AA1:AA6"/>
    <mergeCell ref="AB1:AB6"/>
    <mergeCell ref="AC1:AC6"/>
    <mergeCell ref="AD1:AD6"/>
    <mergeCell ref="U1:U6"/>
    <mergeCell ref="V1:V6"/>
    <mergeCell ref="W1:W6"/>
    <mergeCell ref="X1:X6"/>
    <mergeCell ref="Y1:Y6"/>
    <mergeCell ref="P1:P6"/>
    <mergeCell ref="Q1:Q6"/>
    <mergeCell ref="R1:R6"/>
    <mergeCell ref="S1:S6"/>
    <mergeCell ref="T1:T6"/>
    <mergeCell ref="K1:K6"/>
    <mergeCell ref="L1:L6"/>
    <mergeCell ref="M1:M6"/>
    <mergeCell ref="N1:N6"/>
    <mergeCell ref="O1:O6"/>
    <mergeCell ref="D1:E1"/>
    <mergeCell ref="G1:G6"/>
    <mergeCell ref="H1:H6"/>
    <mergeCell ref="I1:I6"/>
    <mergeCell ref="J1:J6"/>
  </mergeCells>
  <pageMargins left="0.78749999999999998" right="0.78749999999999998" top="0.78749999999999998" bottom="0.78749999999999998" header="0.39374999999999999" footer="0.39374999999999999"/>
  <pageSetup paperSize="9" fitToWidth="0" pageOrder="overThenDown"/>
  <drawing r:id="rId1"/>
  <legacyDrawing r:id="rId2"/>
  <extLst>
    <ext uri="smNativeData">
      <pm:sheetPrefs xmlns:pm="smNativeData" day="168641976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96"/>
  <sheetViews>
    <sheetView zoomScale="80" zoomScaleNormal="80" workbookViewId="0">
      <selection activeCell="E25" sqref="E25"/>
    </sheetView>
  </sheetViews>
  <sheetFormatPr baseColWidth="10" defaultColWidth="10" defaultRowHeight="13.5"/>
  <cols>
    <col min="1" max="1" width="10.140625" style="3" customWidth="1"/>
    <col min="2" max="2" width="11.5703125" style="14" customWidth="1"/>
    <col min="3" max="4" width="19.7109375" style="2" customWidth="1"/>
    <col min="5" max="5" width="6.85546875" style="3" customWidth="1"/>
    <col min="6" max="6" width="7.85546875" style="3" customWidth="1"/>
    <col min="7" max="7" width="10.28515625" style="3" customWidth="1"/>
    <col min="8" max="8" width="6.140625" style="2" customWidth="1"/>
    <col min="9" max="9" width="10.5703125" style="2" customWidth="1"/>
    <col min="10" max="10" width="10.28515625" style="3" customWidth="1"/>
    <col min="11" max="11" width="14.85546875" style="3" customWidth="1"/>
    <col min="12" max="12" width="11.5703125" style="3" customWidth="1"/>
    <col min="13" max="14" width="12.7109375" style="3" customWidth="1"/>
    <col min="15" max="15" width="11.5703125" style="3" customWidth="1"/>
    <col min="16" max="16" width="12.7109375" style="3" customWidth="1"/>
    <col min="17" max="17" width="5.140625" style="3" customWidth="1"/>
    <col min="18" max="21" width="9.42578125" style="3" customWidth="1"/>
    <col min="22" max="22" width="13.7109375" style="3" customWidth="1"/>
    <col min="23" max="23" width="14.85546875" style="3" customWidth="1"/>
    <col min="24" max="25" width="8.42578125" style="3" customWidth="1"/>
    <col min="26" max="27" width="10.5703125" style="3" customWidth="1"/>
    <col min="28" max="28" width="9.42578125" style="3" customWidth="1"/>
    <col min="29" max="29" width="10.5703125" style="3" customWidth="1"/>
    <col min="30" max="31" width="9.42578125" style="3" customWidth="1"/>
    <col min="32" max="32" width="10.5703125" style="3" customWidth="1"/>
    <col min="33" max="33" width="8.42578125" style="3" customWidth="1"/>
    <col min="34" max="34" width="9.42578125" style="3" customWidth="1"/>
    <col min="35" max="36" width="10.5703125" style="3" customWidth="1"/>
    <col min="37" max="37" width="9.42578125" style="3" customWidth="1"/>
    <col min="38" max="253" width="10.7109375" style="2" customWidth="1"/>
    <col min="254" max="254" width="15" style="2" customWidth="1"/>
    <col min="255" max="255" width="10.7109375" style="2" customWidth="1"/>
    <col min="256" max="256" width="18.28515625" style="2" customWidth="1"/>
    <col min="257" max="257" width="5.28515625" style="2" customWidth="1"/>
    <col min="258" max="258" width="5" style="2" customWidth="1"/>
    <col min="259" max="259" width="7.85546875" style="2" customWidth="1"/>
    <col min="260" max="509" width="10.7109375" style="2" customWidth="1"/>
    <col min="510" max="510" width="15" style="2" customWidth="1"/>
    <col min="511" max="511" width="10.7109375" style="2" customWidth="1"/>
    <col min="512" max="512" width="18.28515625" style="2" customWidth="1"/>
    <col min="513" max="513" width="5.28515625" style="2" customWidth="1"/>
    <col min="514" max="514" width="5" style="2" customWidth="1"/>
    <col min="515" max="515" width="7.85546875" style="2" customWidth="1"/>
    <col min="516" max="765" width="10.7109375" style="2" customWidth="1"/>
    <col min="766" max="766" width="15" style="2" customWidth="1"/>
    <col min="767" max="767" width="10.7109375" style="2" customWidth="1"/>
    <col min="768" max="768" width="18.28515625" style="2" customWidth="1"/>
    <col min="769" max="769" width="5.28515625" style="2" customWidth="1"/>
    <col min="770" max="770" width="5" style="2" customWidth="1"/>
    <col min="771" max="771" width="7.85546875" style="2" customWidth="1"/>
    <col min="772" max="1021" width="10.7109375" style="2" customWidth="1"/>
    <col min="1022" max="1022" width="15" style="2" customWidth="1"/>
    <col min="1023" max="1023" width="10.7109375" style="2" customWidth="1"/>
    <col min="1024" max="1024" width="18.28515625" style="2" customWidth="1"/>
    <col min="1025" max="1025" width="5.28515625" style="2" customWidth="1"/>
    <col min="1026" max="1026" width="5" style="2" customWidth="1"/>
    <col min="1027" max="1027" width="7.85546875" style="2" customWidth="1"/>
    <col min="1028" max="1277" width="10.7109375" style="2" customWidth="1"/>
    <col min="1278" max="1278" width="15" style="2" customWidth="1"/>
    <col min="1279" max="1279" width="10.7109375" style="2" customWidth="1"/>
    <col min="1280" max="1280" width="18.28515625" style="2" customWidth="1"/>
    <col min="1281" max="1281" width="5.28515625" style="2" customWidth="1"/>
    <col min="1282" max="1282" width="5" style="2" customWidth="1"/>
    <col min="1283" max="1283" width="7.85546875" style="2" customWidth="1"/>
    <col min="1284" max="1533" width="10.7109375" style="2" customWidth="1"/>
    <col min="1534" max="1534" width="15" style="2" customWidth="1"/>
    <col min="1535" max="1535" width="10.7109375" style="2" customWidth="1"/>
    <col min="1536" max="1536" width="18.28515625" style="2" customWidth="1"/>
    <col min="1537" max="1537" width="5.28515625" style="2" customWidth="1"/>
    <col min="1538" max="1538" width="5" style="2" customWidth="1"/>
    <col min="1539" max="1539" width="7.85546875" style="2" customWidth="1"/>
    <col min="1540" max="1789" width="10.7109375" style="2" customWidth="1"/>
    <col min="1790" max="1790" width="15" style="2" customWidth="1"/>
    <col min="1791" max="1791" width="10.7109375" style="2" customWidth="1"/>
    <col min="1792" max="1792" width="18.28515625" style="2" customWidth="1"/>
    <col min="1793" max="1793" width="5.28515625" style="2" customWidth="1"/>
    <col min="1794" max="1794" width="5" style="2" customWidth="1"/>
    <col min="1795" max="1795" width="7.85546875" style="2" customWidth="1"/>
    <col min="1796" max="2045" width="10.7109375" style="2" customWidth="1"/>
    <col min="2046" max="2046" width="15" style="2" customWidth="1"/>
    <col min="2047" max="2047" width="10.7109375" style="2" customWidth="1"/>
    <col min="2048" max="2048" width="18.28515625" style="2" customWidth="1"/>
    <col min="2049" max="2049" width="5.28515625" style="2" customWidth="1"/>
    <col min="2050" max="2050" width="5" style="2" customWidth="1"/>
    <col min="2051" max="2051" width="7.85546875" style="2" customWidth="1"/>
    <col min="2052" max="2301" width="10.7109375" style="2" customWidth="1"/>
    <col min="2302" max="2302" width="15" style="2" customWidth="1"/>
    <col min="2303" max="2303" width="10.7109375" style="2" customWidth="1"/>
    <col min="2304" max="2304" width="18.28515625" style="2" customWidth="1"/>
    <col min="2305" max="2305" width="5.28515625" style="2" customWidth="1"/>
    <col min="2306" max="2306" width="5" style="2" customWidth="1"/>
    <col min="2307" max="2307" width="7.85546875" style="2" customWidth="1"/>
    <col min="2308" max="2557" width="10.7109375" style="2" customWidth="1"/>
    <col min="2558" max="2558" width="15" style="2" customWidth="1"/>
    <col min="2559" max="2559" width="10.7109375" style="2" customWidth="1"/>
    <col min="2560" max="2560" width="18.28515625" style="2" customWidth="1"/>
    <col min="2561" max="2561" width="5.28515625" style="2" customWidth="1"/>
    <col min="2562" max="2562" width="5" style="2" customWidth="1"/>
    <col min="2563" max="2563" width="7.85546875" style="2" customWidth="1"/>
    <col min="2564" max="2813" width="10.7109375" style="2" customWidth="1"/>
    <col min="2814" max="2814" width="15" style="2" customWidth="1"/>
    <col min="2815" max="2815" width="10.7109375" style="2" customWidth="1"/>
    <col min="2816" max="2816" width="18.28515625" style="2" customWidth="1"/>
    <col min="2817" max="2817" width="5.28515625" style="2" customWidth="1"/>
    <col min="2818" max="2818" width="5" style="2" customWidth="1"/>
    <col min="2819" max="2819" width="7.85546875" style="2" customWidth="1"/>
    <col min="2820" max="3069" width="10.7109375" style="2" customWidth="1"/>
    <col min="3070" max="3070" width="15" style="2" customWidth="1"/>
    <col min="3071" max="3071" width="10.7109375" style="2" customWidth="1"/>
    <col min="3072" max="3072" width="18.28515625" style="2" customWidth="1"/>
    <col min="3073" max="3073" width="5.28515625" style="2" customWidth="1"/>
    <col min="3074" max="3074" width="5" style="2" customWidth="1"/>
    <col min="3075" max="3075" width="7.85546875" style="2" customWidth="1"/>
    <col min="3076" max="3325" width="10.7109375" style="2" customWidth="1"/>
    <col min="3326" max="3326" width="15" style="2" customWidth="1"/>
    <col min="3327" max="3327" width="10.7109375" style="2" customWidth="1"/>
    <col min="3328" max="3328" width="18.28515625" style="2" customWidth="1"/>
    <col min="3329" max="3329" width="5.28515625" style="2" customWidth="1"/>
    <col min="3330" max="3330" width="5" style="2" customWidth="1"/>
    <col min="3331" max="3331" width="7.85546875" style="2" customWidth="1"/>
    <col min="3332" max="3581" width="10.7109375" style="2" customWidth="1"/>
    <col min="3582" max="3582" width="15" style="2" customWidth="1"/>
    <col min="3583" max="3583" width="10.7109375" style="2" customWidth="1"/>
    <col min="3584" max="3584" width="18.28515625" style="2" customWidth="1"/>
    <col min="3585" max="3585" width="5.28515625" style="2" customWidth="1"/>
    <col min="3586" max="3586" width="5" style="2" customWidth="1"/>
    <col min="3587" max="3587" width="7.85546875" style="2" customWidth="1"/>
    <col min="3588" max="3837" width="10.7109375" style="2" customWidth="1"/>
    <col min="3838" max="3838" width="15" style="2" customWidth="1"/>
    <col min="3839" max="3839" width="10.7109375" style="2" customWidth="1"/>
    <col min="3840" max="3840" width="18.28515625" style="2" customWidth="1"/>
    <col min="3841" max="3841" width="5.28515625" style="2" customWidth="1"/>
    <col min="3842" max="3842" width="5" style="2" customWidth="1"/>
    <col min="3843" max="3843" width="7.85546875" style="2" customWidth="1"/>
    <col min="3844" max="4093" width="10.7109375" style="2" customWidth="1"/>
    <col min="4094" max="4094" width="15" style="2" customWidth="1"/>
    <col min="4095" max="4095" width="10.7109375" style="2" customWidth="1"/>
    <col min="4096" max="4096" width="18.28515625" style="2" customWidth="1"/>
    <col min="4097" max="4097" width="5.28515625" style="2" customWidth="1"/>
    <col min="4098" max="4098" width="5" style="2" customWidth="1"/>
    <col min="4099" max="4099" width="7.85546875" style="2" customWidth="1"/>
    <col min="4100" max="4349" width="10.7109375" style="2" customWidth="1"/>
    <col min="4350" max="4350" width="15" style="2" customWidth="1"/>
    <col min="4351" max="4351" width="10.7109375" style="2" customWidth="1"/>
    <col min="4352" max="4352" width="18.28515625" style="2" customWidth="1"/>
    <col min="4353" max="4353" width="5.28515625" style="2" customWidth="1"/>
    <col min="4354" max="4354" width="5" style="2" customWidth="1"/>
    <col min="4355" max="4355" width="7.85546875" style="2" customWidth="1"/>
    <col min="4356" max="4605" width="10.7109375" style="2" customWidth="1"/>
    <col min="4606" max="4606" width="15" style="2" customWidth="1"/>
    <col min="4607" max="4607" width="10.7109375" style="2" customWidth="1"/>
    <col min="4608" max="4608" width="18.28515625" style="2" customWidth="1"/>
    <col min="4609" max="4609" width="5.28515625" style="2" customWidth="1"/>
    <col min="4610" max="4610" width="5" style="2" customWidth="1"/>
    <col min="4611" max="4611" width="7.85546875" style="2" customWidth="1"/>
    <col min="4612" max="4861" width="10.7109375" style="2" customWidth="1"/>
    <col min="4862" max="4862" width="15" style="2" customWidth="1"/>
    <col min="4863" max="4863" width="10.7109375" style="2" customWidth="1"/>
    <col min="4864" max="4864" width="18.28515625" style="2" customWidth="1"/>
    <col min="4865" max="4865" width="5.28515625" style="2" customWidth="1"/>
    <col min="4866" max="4866" width="5" style="2" customWidth="1"/>
    <col min="4867" max="4867" width="7.85546875" style="2" customWidth="1"/>
    <col min="4868" max="5117" width="10.7109375" style="2" customWidth="1"/>
    <col min="5118" max="5118" width="15" style="2" customWidth="1"/>
    <col min="5119" max="5119" width="10.7109375" style="2" customWidth="1"/>
    <col min="5120" max="5120" width="18.28515625" style="2" customWidth="1"/>
    <col min="5121" max="5121" width="5.28515625" style="2" customWidth="1"/>
    <col min="5122" max="5122" width="5" style="2" customWidth="1"/>
    <col min="5123" max="5123" width="7.85546875" style="2" customWidth="1"/>
    <col min="5124" max="5373" width="10.7109375" style="2" customWidth="1"/>
    <col min="5374" max="5374" width="15" style="2" customWidth="1"/>
    <col min="5375" max="5375" width="10.7109375" style="2" customWidth="1"/>
    <col min="5376" max="5376" width="18.28515625" style="2" customWidth="1"/>
    <col min="5377" max="5377" width="5.28515625" style="2" customWidth="1"/>
    <col min="5378" max="5378" width="5" style="2" customWidth="1"/>
    <col min="5379" max="5379" width="7.85546875" style="2" customWidth="1"/>
    <col min="5380" max="5629" width="10.7109375" style="2" customWidth="1"/>
    <col min="5630" max="5630" width="15" style="2" customWidth="1"/>
    <col min="5631" max="5631" width="10.7109375" style="2" customWidth="1"/>
    <col min="5632" max="5632" width="18.28515625" style="2" customWidth="1"/>
    <col min="5633" max="5633" width="5.28515625" style="2" customWidth="1"/>
    <col min="5634" max="5634" width="5" style="2" customWidth="1"/>
    <col min="5635" max="5635" width="7.85546875" style="2" customWidth="1"/>
    <col min="5636" max="5885" width="10.7109375" style="2" customWidth="1"/>
    <col min="5886" max="5886" width="15" style="2" customWidth="1"/>
    <col min="5887" max="5887" width="10.7109375" style="2" customWidth="1"/>
    <col min="5888" max="5888" width="18.28515625" style="2" customWidth="1"/>
    <col min="5889" max="5889" width="5.28515625" style="2" customWidth="1"/>
    <col min="5890" max="5890" width="5" style="2" customWidth="1"/>
    <col min="5891" max="5891" width="7.85546875" style="2" customWidth="1"/>
    <col min="5892" max="6141" width="10.7109375" style="2" customWidth="1"/>
    <col min="6142" max="6142" width="15" style="2" customWidth="1"/>
    <col min="6143" max="6143" width="10.7109375" style="2" customWidth="1"/>
    <col min="6144" max="6144" width="18.28515625" style="2" customWidth="1"/>
    <col min="6145" max="6145" width="5.28515625" style="2" customWidth="1"/>
    <col min="6146" max="6146" width="5" style="2" customWidth="1"/>
    <col min="6147" max="6147" width="7.85546875" style="2" customWidth="1"/>
    <col min="6148" max="6397" width="10.7109375" style="2" customWidth="1"/>
    <col min="6398" max="6398" width="15" style="2" customWidth="1"/>
    <col min="6399" max="6399" width="10.7109375" style="2" customWidth="1"/>
    <col min="6400" max="6400" width="18.28515625" style="2" customWidth="1"/>
    <col min="6401" max="6401" width="5.28515625" style="2" customWidth="1"/>
    <col min="6402" max="6402" width="5" style="2" customWidth="1"/>
    <col min="6403" max="6403" width="7.85546875" style="2" customWidth="1"/>
    <col min="6404" max="6653" width="10.7109375" style="2" customWidth="1"/>
    <col min="6654" max="6654" width="15" style="2" customWidth="1"/>
    <col min="6655" max="6655" width="10.7109375" style="2" customWidth="1"/>
    <col min="6656" max="6656" width="18.28515625" style="2" customWidth="1"/>
    <col min="6657" max="6657" width="5.28515625" style="2" customWidth="1"/>
    <col min="6658" max="6658" width="5" style="2" customWidth="1"/>
    <col min="6659" max="6659" width="7.85546875" style="2" customWidth="1"/>
    <col min="6660" max="6909" width="10.7109375" style="2" customWidth="1"/>
    <col min="6910" max="6910" width="15" style="2" customWidth="1"/>
    <col min="6911" max="6911" width="10.7109375" style="2" customWidth="1"/>
    <col min="6912" max="6912" width="18.28515625" style="2" customWidth="1"/>
    <col min="6913" max="6913" width="5.28515625" style="2" customWidth="1"/>
    <col min="6914" max="6914" width="5" style="2" customWidth="1"/>
    <col min="6915" max="6915" width="7.85546875" style="2" customWidth="1"/>
    <col min="6916" max="7165" width="10.7109375" style="2" customWidth="1"/>
    <col min="7166" max="7166" width="15" style="2" customWidth="1"/>
    <col min="7167" max="7167" width="10.7109375" style="2" customWidth="1"/>
    <col min="7168" max="7168" width="18.28515625" style="2" customWidth="1"/>
    <col min="7169" max="7169" width="5.28515625" style="2" customWidth="1"/>
    <col min="7170" max="7170" width="5" style="2" customWidth="1"/>
    <col min="7171" max="7171" width="7.85546875" style="2" customWidth="1"/>
    <col min="7172" max="7421" width="10.7109375" style="2" customWidth="1"/>
    <col min="7422" max="7422" width="15" style="2" customWidth="1"/>
    <col min="7423" max="7423" width="10.7109375" style="2" customWidth="1"/>
    <col min="7424" max="7424" width="18.28515625" style="2" customWidth="1"/>
    <col min="7425" max="7425" width="5.28515625" style="2" customWidth="1"/>
    <col min="7426" max="7426" width="5" style="2" customWidth="1"/>
    <col min="7427" max="7427" width="7.85546875" style="2" customWidth="1"/>
    <col min="7428" max="7677" width="10.7109375" style="2" customWidth="1"/>
    <col min="7678" max="7678" width="15" style="2" customWidth="1"/>
    <col min="7679" max="7679" width="10.7109375" style="2" customWidth="1"/>
    <col min="7680" max="7680" width="18.28515625" style="2" customWidth="1"/>
    <col min="7681" max="7681" width="5.28515625" style="2" customWidth="1"/>
    <col min="7682" max="7682" width="5" style="2" customWidth="1"/>
    <col min="7683" max="7683" width="7.85546875" style="2" customWidth="1"/>
    <col min="7684" max="7933" width="10.7109375" style="2" customWidth="1"/>
    <col min="7934" max="7934" width="15" style="2" customWidth="1"/>
    <col min="7935" max="7935" width="10.7109375" style="2" customWidth="1"/>
    <col min="7936" max="7936" width="18.28515625" style="2" customWidth="1"/>
    <col min="7937" max="7937" width="5.28515625" style="2" customWidth="1"/>
    <col min="7938" max="7938" width="5" style="2" customWidth="1"/>
    <col min="7939" max="7939" width="7.85546875" style="2" customWidth="1"/>
    <col min="7940" max="8189" width="10.7109375" style="2" customWidth="1"/>
    <col min="8190" max="8190" width="15" style="2" customWidth="1"/>
    <col min="8191" max="8191" width="10.7109375" style="2" customWidth="1"/>
    <col min="8192" max="8192" width="18.28515625" style="2" customWidth="1"/>
    <col min="8193" max="8193" width="5.28515625" style="2" customWidth="1"/>
    <col min="8194" max="8194" width="5" style="2" customWidth="1"/>
    <col min="8195" max="8195" width="7.85546875" style="2" customWidth="1"/>
    <col min="8196" max="8445" width="10.7109375" style="2" customWidth="1"/>
    <col min="8446" max="8446" width="15" style="2" customWidth="1"/>
    <col min="8447" max="8447" width="10.7109375" style="2" customWidth="1"/>
    <col min="8448" max="8448" width="18.28515625" style="2" customWidth="1"/>
    <col min="8449" max="8449" width="5.28515625" style="2" customWidth="1"/>
    <col min="8450" max="8450" width="5" style="2" customWidth="1"/>
    <col min="8451" max="8451" width="7.85546875" style="2" customWidth="1"/>
    <col min="8452" max="8701" width="10.7109375" style="2" customWidth="1"/>
    <col min="8702" max="8702" width="15" style="2" customWidth="1"/>
    <col min="8703" max="8703" width="10.7109375" style="2" customWidth="1"/>
    <col min="8704" max="8704" width="18.28515625" style="2" customWidth="1"/>
    <col min="8705" max="8705" width="5.28515625" style="2" customWidth="1"/>
    <col min="8706" max="8706" width="5" style="2" customWidth="1"/>
    <col min="8707" max="8707" width="7.85546875" style="2" customWidth="1"/>
    <col min="8708" max="8957" width="10.7109375" style="2" customWidth="1"/>
    <col min="8958" max="8958" width="15" style="2" customWidth="1"/>
    <col min="8959" max="8959" width="10.7109375" style="2" customWidth="1"/>
    <col min="8960" max="8960" width="18.28515625" style="2" customWidth="1"/>
    <col min="8961" max="8961" width="5.28515625" style="2" customWidth="1"/>
    <col min="8962" max="8962" width="5" style="2" customWidth="1"/>
    <col min="8963" max="8963" width="7.85546875" style="2" customWidth="1"/>
    <col min="8964" max="9213" width="10.7109375" style="2" customWidth="1"/>
    <col min="9214" max="9214" width="15" style="2" customWidth="1"/>
    <col min="9215" max="9215" width="10.7109375" style="2" customWidth="1"/>
    <col min="9216" max="9216" width="18.28515625" style="2" customWidth="1"/>
    <col min="9217" max="9217" width="5.28515625" style="2" customWidth="1"/>
    <col min="9218" max="9218" width="5" style="2" customWidth="1"/>
    <col min="9219" max="9219" width="7.85546875" style="2" customWidth="1"/>
    <col min="9220" max="9469" width="10.7109375" style="2" customWidth="1"/>
    <col min="9470" max="9470" width="15" style="2" customWidth="1"/>
    <col min="9471" max="9471" width="10.7109375" style="2" customWidth="1"/>
    <col min="9472" max="9472" width="18.28515625" style="2" customWidth="1"/>
    <col min="9473" max="9473" width="5.28515625" style="2" customWidth="1"/>
    <col min="9474" max="9474" width="5" style="2" customWidth="1"/>
    <col min="9475" max="9475" width="7.85546875" style="2" customWidth="1"/>
    <col min="9476" max="9725" width="10.7109375" style="2" customWidth="1"/>
    <col min="9726" max="9726" width="15" style="2" customWidth="1"/>
    <col min="9727" max="9727" width="10.7109375" style="2" customWidth="1"/>
    <col min="9728" max="9728" width="18.28515625" style="2" customWidth="1"/>
    <col min="9729" max="9729" width="5.28515625" style="2" customWidth="1"/>
    <col min="9730" max="9730" width="5" style="2" customWidth="1"/>
    <col min="9731" max="9731" width="7.85546875" style="2" customWidth="1"/>
    <col min="9732" max="9981" width="10.7109375" style="2" customWidth="1"/>
    <col min="9982" max="9982" width="15" style="2" customWidth="1"/>
    <col min="9983" max="9983" width="10.7109375" style="2" customWidth="1"/>
    <col min="9984" max="9984" width="18.28515625" style="2" customWidth="1"/>
    <col min="9985" max="9985" width="5.28515625" style="2" customWidth="1"/>
    <col min="9986" max="9986" width="5" style="2" customWidth="1"/>
    <col min="9987" max="9987" width="7.85546875" style="2" customWidth="1"/>
    <col min="9988" max="10237" width="10.7109375" style="2" customWidth="1"/>
    <col min="10238" max="10238" width="15" style="2" customWidth="1"/>
    <col min="10239" max="10239" width="10.7109375" style="2" customWidth="1"/>
    <col min="10240" max="10240" width="18.28515625" style="2" customWidth="1"/>
    <col min="10241" max="10241" width="5.28515625" style="2" customWidth="1"/>
    <col min="10242" max="10242" width="5" style="2" customWidth="1"/>
    <col min="10243" max="10243" width="7.85546875" style="2" customWidth="1"/>
    <col min="10244" max="10493" width="10.7109375" style="2" customWidth="1"/>
    <col min="10494" max="10494" width="15" style="2" customWidth="1"/>
    <col min="10495" max="10495" width="10.7109375" style="2" customWidth="1"/>
    <col min="10496" max="10496" width="18.28515625" style="2" customWidth="1"/>
    <col min="10497" max="10497" width="5.28515625" style="2" customWidth="1"/>
    <col min="10498" max="10498" width="5" style="2" customWidth="1"/>
    <col min="10499" max="10499" width="7.85546875" style="2" customWidth="1"/>
    <col min="10500" max="10749" width="10.7109375" style="2" customWidth="1"/>
    <col min="10750" max="10750" width="15" style="2" customWidth="1"/>
    <col min="10751" max="10751" width="10.7109375" style="2" customWidth="1"/>
    <col min="10752" max="10752" width="18.28515625" style="2" customWidth="1"/>
    <col min="10753" max="10753" width="5.28515625" style="2" customWidth="1"/>
    <col min="10754" max="10754" width="5" style="2" customWidth="1"/>
    <col min="10755" max="10755" width="7.85546875" style="2" customWidth="1"/>
    <col min="10756" max="11005" width="10.7109375" style="2" customWidth="1"/>
    <col min="11006" max="11006" width="15" style="2" customWidth="1"/>
    <col min="11007" max="11007" width="10.7109375" style="2" customWidth="1"/>
    <col min="11008" max="11008" width="18.28515625" style="2" customWidth="1"/>
    <col min="11009" max="11009" width="5.28515625" style="2" customWidth="1"/>
    <col min="11010" max="11010" width="5" style="2" customWidth="1"/>
    <col min="11011" max="11011" width="7.85546875" style="2" customWidth="1"/>
    <col min="11012" max="11261" width="10.7109375" style="2" customWidth="1"/>
    <col min="11262" max="11262" width="15" style="2" customWidth="1"/>
    <col min="11263" max="11263" width="10.7109375" style="2" customWidth="1"/>
    <col min="11264" max="11264" width="18.28515625" style="2" customWidth="1"/>
    <col min="11265" max="11265" width="5.28515625" style="2" customWidth="1"/>
    <col min="11266" max="11266" width="5" style="2" customWidth="1"/>
    <col min="11267" max="11267" width="7.85546875" style="2" customWidth="1"/>
    <col min="11268" max="11517" width="10.7109375" style="2" customWidth="1"/>
    <col min="11518" max="11518" width="15" style="2" customWidth="1"/>
    <col min="11519" max="11519" width="10.7109375" style="2" customWidth="1"/>
    <col min="11520" max="11520" width="18.28515625" style="2" customWidth="1"/>
    <col min="11521" max="11521" width="5.28515625" style="2" customWidth="1"/>
    <col min="11522" max="11522" width="5" style="2" customWidth="1"/>
    <col min="11523" max="11523" width="7.85546875" style="2" customWidth="1"/>
    <col min="11524" max="11773" width="10.7109375" style="2" customWidth="1"/>
    <col min="11774" max="11774" width="15" style="2" customWidth="1"/>
    <col min="11775" max="11775" width="10.7109375" style="2" customWidth="1"/>
    <col min="11776" max="11776" width="18.28515625" style="2" customWidth="1"/>
    <col min="11777" max="11777" width="5.28515625" style="2" customWidth="1"/>
    <col min="11778" max="11778" width="5" style="2" customWidth="1"/>
    <col min="11779" max="11779" width="7.85546875" style="2" customWidth="1"/>
    <col min="11780" max="12029" width="10.7109375" style="2" customWidth="1"/>
    <col min="12030" max="12030" width="15" style="2" customWidth="1"/>
    <col min="12031" max="12031" width="10.7109375" style="2" customWidth="1"/>
    <col min="12032" max="12032" width="18.28515625" style="2" customWidth="1"/>
    <col min="12033" max="12033" width="5.28515625" style="2" customWidth="1"/>
    <col min="12034" max="12034" width="5" style="2" customWidth="1"/>
    <col min="12035" max="12035" width="7.85546875" style="2" customWidth="1"/>
    <col min="12036" max="12285" width="10.7109375" style="2" customWidth="1"/>
    <col min="12286" max="12286" width="15" style="2" customWidth="1"/>
    <col min="12287" max="12287" width="10.7109375" style="2" customWidth="1"/>
    <col min="12288" max="12288" width="18.28515625" style="2" customWidth="1"/>
    <col min="12289" max="12289" width="5.28515625" style="2" customWidth="1"/>
    <col min="12290" max="12290" width="5" style="2" customWidth="1"/>
    <col min="12291" max="12291" width="7.85546875" style="2" customWidth="1"/>
    <col min="12292" max="12541" width="10.7109375" style="2" customWidth="1"/>
    <col min="12542" max="12542" width="15" style="2" customWidth="1"/>
    <col min="12543" max="12543" width="10.7109375" style="2" customWidth="1"/>
    <col min="12544" max="12544" width="18.28515625" style="2" customWidth="1"/>
    <col min="12545" max="12545" width="5.28515625" style="2" customWidth="1"/>
    <col min="12546" max="12546" width="5" style="2" customWidth="1"/>
    <col min="12547" max="12547" width="7.85546875" style="2" customWidth="1"/>
    <col min="12548" max="12797" width="10.7109375" style="2" customWidth="1"/>
    <col min="12798" max="12798" width="15" style="2" customWidth="1"/>
    <col min="12799" max="12799" width="10.7109375" style="2" customWidth="1"/>
    <col min="12800" max="12800" width="18.28515625" style="2" customWidth="1"/>
    <col min="12801" max="12801" width="5.28515625" style="2" customWidth="1"/>
    <col min="12802" max="12802" width="5" style="2" customWidth="1"/>
    <col min="12803" max="12803" width="7.85546875" style="2" customWidth="1"/>
    <col min="12804" max="13053" width="10.7109375" style="2" customWidth="1"/>
    <col min="13054" max="13054" width="15" style="2" customWidth="1"/>
    <col min="13055" max="13055" width="10.7109375" style="2" customWidth="1"/>
    <col min="13056" max="13056" width="18.28515625" style="2" customWidth="1"/>
    <col min="13057" max="13057" width="5.28515625" style="2" customWidth="1"/>
    <col min="13058" max="13058" width="5" style="2" customWidth="1"/>
    <col min="13059" max="13059" width="7.85546875" style="2" customWidth="1"/>
    <col min="13060" max="13309" width="10.7109375" style="2" customWidth="1"/>
    <col min="13310" max="13310" width="15" style="2" customWidth="1"/>
    <col min="13311" max="13311" width="10.7109375" style="2" customWidth="1"/>
    <col min="13312" max="13312" width="18.28515625" style="2" customWidth="1"/>
    <col min="13313" max="13313" width="5.28515625" style="2" customWidth="1"/>
    <col min="13314" max="13314" width="5" style="2" customWidth="1"/>
    <col min="13315" max="13315" width="7.85546875" style="2" customWidth="1"/>
    <col min="13316" max="13565" width="10.7109375" style="2" customWidth="1"/>
    <col min="13566" max="13566" width="15" style="2" customWidth="1"/>
    <col min="13567" max="13567" width="10.7109375" style="2" customWidth="1"/>
    <col min="13568" max="13568" width="18.28515625" style="2" customWidth="1"/>
    <col min="13569" max="13569" width="5.28515625" style="2" customWidth="1"/>
    <col min="13570" max="13570" width="5" style="2" customWidth="1"/>
    <col min="13571" max="13571" width="7.85546875" style="2" customWidth="1"/>
    <col min="13572" max="13821" width="10.7109375" style="2" customWidth="1"/>
    <col min="13822" max="13822" width="15" style="2" customWidth="1"/>
    <col min="13823" max="13823" width="10.7109375" style="2" customWidth="1"/>
    <col min="13824" max="13824" width="18.28515625" style="2" customWidth="1"/>
    <col min="13825" max="13825" width="5.28515625" style="2" customWidth="1"/>
    <col min="13826" max="13826" width="5" style="2" customWidth="1"/>
    <col min="13827" max="13827" width="7.85546875" style="2" customWidth="1"/>
    <col min="13828" max="14077" width="10.7109375" style="2" customWidth="1"/>
    <col min="14078" max="14078" width="15" style="2" customWidth="1"/>
    <col min="14079" max="14079" width="10.7109375" style="2" customWidth="1"/>
    <col min="14080" max="14080" width="18.28515625" style="2" customWidth="1"/>
    <col min="14081" max="14081" width="5.28515625" style="2" customWidth="1"/>
    <col min="14082" max="14082" width="5" style="2" customWidth="1"/>
    <col min="14083" max="14083" width="7.85546875" style="2" customWidth="1"/>
    <col min="14084" max="14333" width="10.7109375" style="2" customWidth="1"/>
    <col min="14334" max="14334" width="15" style="2" customWidth="1"/>
    <col min="14335" max="14335" width="10.7109375" style="2" customWidth="1"/>
    <col min="14336" max="14336" width="18.28515625" style="2" customWidth="1"/>
    <col min="14337" max="14337" width="5.28515625" style="2" customWidth="1"/>
    <col min="14338" max="14338" width="5" style="2" customWidth="1"/>
    <col min="14339" max="14339" width="7.85546875" style="2" customWidth="1"/>
    <col min="14340" max="14589" width="10.7109375" style="2" customWidth="1"/>
    <col min="14590" max="14590" width="15" style="2" customWidth="1"/>
    <col min="14591" max="14591" width="10.7109375" style="2" customWidth="1"/>
    <col min="14592" max="14592" width="18.28515625" style="2" customWidth="1"/>
    <col min="14593" max="14593" width="5.28515625" style="2" customWidth="1"/>
    <col min="14594" max="14594" width="5" style="2" customWidth="1"/>
    <col min="14595" max="14595" width="7.85546875" style="2" customWidth="1"/>
    <col min="14596" max="14845" width="10.7109375" style="2" customWidth="1"/>
    <col min="14846" max="14846" width="15" style="2" customWidth="1"/>
    <col min="14847" max="14847" width="10.7109375" style="2" customWidth="1"/>
    <col min="14848" max="14848" width="18.28515625" style="2" customWidth="1"/>
    <col min="14849" max="14849" width="5.28515625" style="2" customWidth="1"/>
    <col min="14850" max="14850" width="5" style="2" customWidth="1"/>
    <col min="14851" max="14851" width="7.85546875" style="2" customWidth="1"/>
    <col min="14852" max="15101" width="10.7109375" style="2" customWidth="1"/>
    <col min="15102" max="15102" width="15" style="2" customWidth="1"/>
    <col min="15103" max="15103" width="10.7109375" style="2" customWidth="1"/>
    <col min="15104" max="15104" width="18.28515625" style="2" customWidth="1"/>
    <col min="15105" max="15105" width="5.28515625" style="2" customWidth="1"/>
    <col min="15106" max="15106" width="5" style="2" customWidth="1"/>
    <col min="15107" max="15107" width="7.85546875" style="2" customWidth="1"/>
    <col min="15108" max="15357" width="10.7109375" style="2" customWidth="1"/>
    <col min="15358" max="15358" width="15" style="2" customWidth="1"/>
    <col min="15359" max="15359" width="10.7109375" style="2" customWidth="1"/>
    <col min="15360" max="15360" width="18.28515625" style="2" customWidth="1"/>
    <col min="15361" max="15361" width="5.28515625" style="2" customWidth="1"/>
    <col min="15362" max="15362" width="5" style="2" customWidth="1"/>
    <col min="15363" max="15363" width="7.85546875" style="2" customWidth="1"/>
    <col min="15364" max="15613" width="10.7109375" style="2" customWidth="1"/>
    <col min="15614" max="15614" width="15" style="2" customWidth="1"/>
    <col min="15615" max="15615" width="10.7109375" style="2" customWidth="1"/>
    <col min="15616" max="15616" width="18.28515625" style="2" customWidth="1"/>
    <col min="15617" max="15617" width="5.28515625" style="2" customWidth="1"/>
    <col min="15618" max="15618" width="5" style="2" customWidth="1"/>
    <col min="15619" max="15619" width="7.85546875" style="2" customWidth="1"/>
    <col min="15620" max="15869" width="10.7109375" style="2" customWidth="1"/>
    <col min="15870" max="15870" width="15" style="2" customWidth="1"/>
    <col min="15871" max="15871" width="10.7109375" style="2" customWidth="1"/>
    <col min="15872" max="15872" width="18.28515625" style="2" customWidth="1"/>
    <col min="15873" max="15873" width="5.28515625" style="2" customWidth="1"/>
    <col min="15874" max="15874" width="5" style="2" customWidth="1"/>
    <col min="15875" max="15875" width="7.85546875" style="2" customWidth="1"/>
    <col min="15876" max="16125" width="10.7109375" style="2" customWidth="1"/>
    <col min="16126" max="16126" width="15" style="2" customWidth="1"/>
    <col min="16127" max="16127" width="10.7109375" style="2" customWidth="1"/>
    <col min="16128" max="16128" width="18.28515625" style="2" customWidth="1"/>
    <col min="16129" max="16129" width="5.28515625" style="2" customWidth="1"/>
    <col min="16130" max="16130" width="5" style="2" customWidth="1"/>
    <col min="16131" max="16131" width="7.85546875" style="2" customWidth="1"/>
    <col min="16132" max="16378" width="10.7109375" style="2" customWidth="1"/>
    <col min="16379" max="16384" width="10.28515625" customWidth="1"/>
  </cols>
  <sheetData>
    <row r="1" spans="1:16378" s="1" customFormat="1" ht="15.75">
      <c r="A1" s="2" t="s">
        <v>0</v>
      </c>
      <c r="B1" s="2"/>
      <c r="C1" s="2">
        <f>365+5/24+48/60/24+46/60/60/24</f>
        <v>365.24219907407411</v>
      </c>
      <c r="D1" s="63">
        <v>365.25</v>
      </c>
      <c r="E1" s="64"/>
      <c r="F1" s="3"/>
      <c r="G1" s="65" t="s">
        <v>1</v>
      </c>
      <c r="H1" s="65" t="s">
        <v>2</v>
      </c>
      <c r="I1" s="65" t="s">
        <v>3</v>
      </c>
      <c r="J1" s="65" t="s">
        <v>4</v>
      </c>
      <c r="K1" s="65" t="s">
        <v>5</v>
      </c>
      <c r="L1" s="65" t="s">
        <v>6</v>
      </c>
      <c r="M1" s="65" t="s">
        <v>7</v>
      </c>
      <c r="N1" s="65" t="s">
        <v>8</v>
      </c>
      <c r="O1" s="65" t="s">
        <v>9</v>
      </c>
      <c r="P1" s="65" t="s">
        <v>10</v>
      </c>
      <c r="Q1" s="65" t="s">
        <v>11</v>
      </c>
      <c r="R1" s="65" t="s">
        <v>12</v>
      </c>
      <c r="S1" s="65" t="s">
        <v>13</v>
      </c>
      <c r="T1" s="65" t="s">
        <v>14</v>
      </c>
      <c r="U1" s="65" t="s">
        <v>15</v>
      </c>
      <c r="V1" s="65" t="s">
        <v>16</v>
      </c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spans="1:16378" s="1" customFormat="1" ht="15.75">
      <c r="A2" s="2" t="s">
        <v>17</v>
      </c>
      <c r="B2" s="2"/>
      <c r="C2" s="2">
        <f>29+12/24+44/60/24+2.9/60/60/24</f>
        <v>29.530589120370369</v>
      </c>
      <c r="D2" s="63">
        <v>29.530588853000001</v>
      </c>
      <c r="E2" s="64"/>
      <c r="F2" s="3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pans="1:16378" s="1" customFormat="1" ht="15.75">
      <c r="A3" s="2" t="s">
        <v>18</v>
      </c>
      <c r="B3" s="2"/>
      <c r="C3" s="2">
        <f>C1/C2</f>
        <v>12.368266599264285</v>
      </c>
      <c r="D3" s="63">
        <f>D1/D2</f>
        <v>12.368530875499097</v>
      </c>
      <c r="E3" s="64"/>
      <c r="F3" s="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pans="1:16378" s="1" customFormat="1" ht="15.75">
      <c r="A4" s="2"/>
      <c r="B4" s="2"/>
      <c r="C4" s="2" t="s">
        <v>19</v>
      </c>
      <c r="D4" s="63" t="s">
        <v>20</v>
      </c>
      <c r="E4" s="64"/>
      <c r="F4" s="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pans="1:16378" s="1" customFormat="1" ht="15.75">
      <c r="A5" s="4" t="s">
        <v>21</v>
      </c>
      <c r="B5" s="2"/>
      <c r="C5" s="27">
        <v>2</v>
      </c>
      <c r="D5" s="66">
        <v>2415018.5</v>
      </c>
      <c r="E5" s="66"/>
      <c r="F5" s="3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</row>
    <row r="6" spans="1:16378" s="1" customFormat="1" ht="15.75">
      <c r="A6" s="4" t="s">
        <v>21</v>
      </c>
      <c r="B6" s="2"/>
      <c r="C6" s="27">
        <v>36526</v>
      </c>
      <c r="D6" s="66">
        <v>2451545</v>
      </c>
      <c r="E6" s="66"/>
      <c r="F6" s="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</row>
    <row r="7" spans="1:16378" s="1" customFormat="1" ht="16.5" thickBot="1">
      <c r="A7" s="28" t="s">
        <v>75</v>
      </c>
      <c r="B7" s="29">
        <v>2023</v>
      </c>
      <c r="C7" s="30" t="s">
        <v>58</v>
      </c>
      <c r="D7" s="28">
        <v>0</v>
      </c>
      <c r="E7" s="8"/>
      <c r="F7" s="8" t="s">
        <v>76</v>
      </c>
      <c r="G7" s="8">
        <f>AVERAGE(G10:G62)</f>
        <v>29.543831758845883</v>
      </c>
      <c r="H7" s="7" t="s">
        <v>22</v>
      </c>
      <c r="I7" s="8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  <c r="O7" s="8" t="s">
        <v>29</v>
      </c>
      <c r="P7" s="8" t="s">
        <v>30</v>
      </c>
      <c r="Q7" s="8"/>
      <c r="R7" s="8" t="s">
        <v>31</v>
      </c>
      <c r="S7" s="8"/>
      <c r="T7" s="8"/>
      <c r="U7" s="8"/>
      <c r="V7" s="8" t="s">
        <v>32</v>
      </c>
      <c r="W7" s="8" t="s">
        <v>33</v>
      </c>
      <c r="X7" s="8" t="s">
        <v>34</v>
      </c>
      <c r="Y7" s="8" t="s">
        <v>35</v>
      </c>
      <c r="Z7" s="8" t="s">
        <v>36</v>
      </c>
      <c r="AA7" s="8" t="s">
        <v>37</v>
      </c>
      <c r="AB7" s="8" t="s">
        <v>38</v>
      </c>
      <c r="AC7" s="8" t="s">
        <v>39</v>
      </c>
      <c r="AD7" s="8" t="s">
        <v>40</v>
      </c>
      <c r="AE7" s="8" t="s">
        <v>41</v>
      </c>
      <c r="AF7" s="8" t="s">
        <v>42</v>
      </c>
      <c r="AG7" s="8" t="s">
        <v>43</v>
      </c>
      <c r="AH7" s="8" t="s">
        <v>44</v>
      </c>
      <c r="AI7" s="8" t="s">
        <v>45</v>
      </c>
      <c r="AJ7" s="8" t="s">
        <v>46</v>
      </c>
      <c r="AK7" s="8" t="s">
        <v>47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</row>
    <row r="8" spans="1:16378" s="1" customFormat="1" ht="16.5" thickTop="1">
      <c r="A8" s="3" t="s">
        <v>48</v>
      </c>
      <c r="B8" s="40"/>
      <c r="C8" s="35">
        <f t="shared" ref="C8:C41" si="0">W8-2415018.5+$D$7/24</f>
        <v>44888.957227292936</v>
      </c>
      <c r="D8" s="37"/>
      <c r="E8" s="38"/>
      <c r="F8" s="38">
        <v>1</v>
      </c>
      <c r="G8" s="38"/>
      <c r="H8" s="39"/>
      <c r="I8" s="38">
        <f>I10-1</f>
        <v>283</v>
      </c>
      <c r="J8" s="3">
        <f>I8/($C$3*100)</f>
        <v>0.22881136797037832</v>
      </c>
      <c r="K8" s="3">
        <f t="shared" ref="K8:K41" si="1">2451550.09765+$C$2*I8+0.0001337*J8*J8-0.00000015*J8*J8*J8</f>
        <v>2459907.2543780627</v>
      </c>
      <c r="L8" s="3">
        <f t="shared" ref="L8:L9" si="2">(2.5534+29.10535669*I8-0.0000218*J8^2-0.00000011*J8^3)*PI()/180</f>
        <v>143.80412330800144</v>
      </c>
      <c r="M8" s="3">
        <f t="shared" ref="M8:M9" si="3">(201.5643+385.81693528*I8+0.0107437*J8^2+0.00001239*J8^3-0.000000058*J8^4)*PI()/180</f>
        <v>1909.1765305661716</v>
      </c>
      <c r="N8" s="3">
        <f t="shared" ref="N8:N9" si="4">(160.7108+390.67050274*I8-0.0016341*J8^2-0.00000227*J8^3+0.000000011*J8^4)*PI()/180</f>
        <v>1932.4366285052351</v>
      </c>
      <c r="O8" s="3">
        <f t="shared" ref="O8:O9" si="5">(124.7746-1.5637558*I8+0.0020691*J8^2+0.00000215*J8^3)*PI()/180</f>
        <v>-5.5461010522546168</v>
      </c>
      <c r="P8" s="3">
        <f t="shared" ref="P8:P9" si="6">1-0.002516*J8-0.0000074*J8^2</f>
        <v>0.99942392317383488</v>
      </c>
      <c r="Q8" s="3" t="s">
        <v>48</v>
      </c>
      <c r="R8" s="3"/>
      <c r="S8" s="3">
        <f>-0.4072*SIN(M8)+0.17241*P8*SIN(L8)+0.01608*SIN(2*M8)+0.01039*SIN(2*N8)+0.00739*P8*SIN(M8-L8)-0.00514*P8*SIN(M8+L8)+0.00208*P8^2*SIN(2*L8)-0.00111*SIN(M8-2*N8)-0.00057*SIN(M8+2*N8)+0.00056*P8*SIN(2*M8+L8)-0.00042*SIN(3*M8)+0.00042*P8*SIN(L8+2*N8)+0.00038*P8*SIN(L8-2*N8)-0.00024*P8*SIN(2*M8-L8)-0.00017*SIN(O8)-0.00007*SIN(M8+2*L8)+0.00004*SIN(2*M8-2*N8)+0.00004*SIN(3*L8)+0.00003*SIN(M8+L8-2*N8)+0.00003*SIN(2*M8+2*N8)-0.00003*SIN(M8+L8+2*N8)+0.00003*SIN(M8-L8+2*N8)-0.00002*SIN(M8-L8-2*N8)-0.00002*SIN(3*M8+L8)+0.00002*SIN(4*M8)</f>
        <v>0.20335561382830097</v>
      </c>
      <c r="T8" s="3"/>
      <c r="U8" s="3"/>
      <c r="V8" s="3">
        <f t="shared" ref="V8:V9" si="7">0.000325*SIN(X8)+0.000165*SIN(Y8)+0.000164*SIN(Z8)+0.000126*SIN(AA8)+0.00011*SIN(AB8)+0.000062*SIN(AC8)+0.00006*SIN(AD8)+0.000056*SIN(AE8)+0.000047*SIN(AF8)+0.000042*SIN(AG8)+0.00004*SIN(AH8)+0.000037*SIN(AI8)+0.000035*SIN(AJ8)+0.000023*SIN(AK8)</f>
        <v>-5.0638316117715344E-4</v>
      </c>
      <c r="W8" s="3">
        <f t="shared" ref="W8:W9" si="8">K8+R8+S8+T8+U8+V8</f>
        <v>2459907.4572272929</v>
      </c>
      <c r="X8" s="3">
        <f t="shared" ref="X8:X9" si="9">(299.77+0.107408*I8-0.009173*J8^2)*PI()/180</f>
        <v>5.7624834945387411</v>
      </c>
      <c r="Y8" s="3">
        <f t="shared" ref="Y8:Y9" si="10">(251.88+0.016321*I8)*PI()/180</f>
        <v>4.4767493379060097</v>
      </c>
      <c r="Z8" s="3">
        <f t="shared" ref="Z8:Z9" si="11">(251.83+26.651886*I8)*PI()/180</f>
        <v>136.03643766152666</v>
      </c>
      <c r="AA8" s="3">
        <f t="shared" ref="AA8:AA9" si="12">(349.42+36.412478*I8)*PI()/180</f>
        <v>185.95001873684851</v>
      </c>
      <c r="AB8" s="3">
        <f t="shared" ref="AB8:AB9" si="13">(84.66+18.206239*I8)*PI()/180</f>
        <v>91.40334037700336</v>
      </c>
      <c r="AC8" s="3">
        <f t="shared" ref="AC8:AC9" si="14">(141.74+53.303771*I8)*PI()/180</f>
        <v>265.75617475495363</v>
      </c>
      <c r="AD8" s="3">
        <f t="shared" ref="AD8:AD9" si="15">(207.14+2.453732*I8)*PI()/180</f>
        <v>15.73494878089843</v>
      </c>
      <c r="AE8" s="3">
        <f t="shared" ref="AE8:AE9" si="16">(154.84+7.30686*I8)*PI()/180</f>
        <v>38.793108303771248</v>
      </c>
      <c r="AF8" s="3">
        <f t="shared" ref="AF8:AF9" si="17">(34.52+27.261239*I8)*PI()/180</f>
        <v>135.25342883642193</v>
      </c>
      <c r="AG8" s="3">
        <f t="shared" ref="AG8:AG9" si="18">(207.19+0.121824*I8)*PI()/180</f>
        <v>4.21787074115678</v>
      </c>
      <c r="AH8" s="3">
        <f t="shared" ref="AH8:AH9" si="19">(291.34+1.844379*I8)*PI()/180</f>
        <v>14.194749838673538</v>
      </c>
      <c r="AI8" s="3">
        <f t="shared" ref="AI8:AI9" si="20">(161.72+24.198154*I8)*PI()/180</f>
        <v>122.3440477042372</v>
      </c>
      <c r="AJ8" s="3">
        <f t="shared" ref="AJ8:AJ9" si="21">(239.56+25.513099*I8)*PI()/180</f>
        <v>130.19749587832581</v>
      </c>
      <c r="AK8" s="3">
        <f t="shared" ref="AK8:AK9" si="22">(331.55+3.592518*I8)*PI()/180</f>
        <v>23.531097848003945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</row>
    <row r="9" spans="1:16378" s="1" customFormat="1" ht="16.5" thickBot="1">
      <c r="A9" s="3" t="s">
        <v>53</v>
      </c>
      <c r="B9" s="40"/>
      <c r="C9" s="35">
        <f t="shared" si="0"/>
        <v>44903.173234461807</v>
      </c>
      <c r="D9" s="37"/>
      <c r="E9" s="38"/>
      <c r="F9" s="38">
        <v>99</v>
      </c>
      <c r="G9" s="38"/>
      <c r="H9" s="39"/>
      <c r="I9" s="23">
        <f>I8+0.5</f>
        <v>283.5</v>
      </c>
      <c r="J9" s="3">
        <f>I9/($C$3*100)</f>
        <v>0.22921562833781717</v>
      </c>
      <c r="K9" s="3">
        <f t="shared" si="1"/>
        <v>2459922.0196726476</v>
      </c>
      <c r="L9" s="3">
        <f t="shared" si="2"/>
        <v>144.05811546003477</v>
      </c>
      <c r="M9" s="3">
        <f t="shared" si="3"/>
        <v>1912.5434185162003</v>
      </c>
      <c r="N9" s="3">
        <f t="shared" si="4"/>
        <v>1935.8458717815688</v>
      </c>
      <c r="O9" s="3">
        <f t="shared" si="5"/>
        <v>-5.5597473892691207</v>
      </c>
      <c r="P9" s="3">
        <f t="shared" si="6"/>
        <v>0.99942290468455042</v>
      </c>
      <c r="Q9" s="3" t="s">
        <v>53</v>
      </c>
      <c r="R9" s="3"/>
      <c r="S9" s="3"/>
      <c r="T9" s="3">
        <f>-0.40614*SIN(M9)+0.17302*P9*SIN(L9)+0.01614*SIN(2*M9)+0.01043*SIN(2*N9)+0.00734*P9*SIN(M9-L9)-0.00515*P9*SIN(M9+L9)+0.00209*P9^2*SIN(2*L9)-0.00111*SIN(M9-2*N9)-0.00057*SIN(M9+2*N9)+0.00056*P9*SIN(2*M9+L9)-0.00042*SIN(3*M9)+0.00042*P9*SIN(L9+2*N9)+0.00038*P9*SIN(L9-2*N9)-0.00024*P9*SIN(2*M9-L9)-0.00017*SIN(O9)-0.00007*SIN(M9+2*L9)+0.00004*SIN(2*M9-2*N9)+0.00004*SIN(3*L9)+0.00003*SIN(M9+L9-2*N9)+0.00003*SIN(2*M9+2*N9)-0.00003*SIN(M9+L9+2*N9)+0.00003*SIN(M9-L9+2*N9)-0.00002*SIN(M9-L9-2*N9)-0.00002*SIN(3*M9+L9)+0.00002*SIN(4*M9)</f>
        <v>-0.34583518890634468</v>
      </c>
      <c r="U9" s="3"/>
      <c r="V9" s="3">
        <f t="shared" si="7"/>
        <v>-6.0299678660081862E-4</v>
      </c>
      <c r="W9" s="3">
        <f t="shared" si="8"/>
        <v>2459921.6732344618</v>
      </c>
      <c r="X9" s="3">
        <f t="shared" si="9"/>
        <v>5.7634207765159466</v>
      </c>
      <c r="Y9" s="3">
        <f t="shared" si="10"/>
        <v>4.4768917654996185</v>
      </c>
      <c r="Z9" s="3">
        <f t="shared" si="11"/>
        <v>136.26901924280975</v>
      </c>
      <c r="AA9" s="3">
        <f t="shared" si="12"/>
        <v>186.26777755180353</v>
      </c>
      <c r="AB9" s="3">
        <f t="shared" si="13"/>
        <v>91.562219784480874</v>
      </c>
      <c r="AC9" s="3">
        <f t="shared" si="14"/>
        <v>266.2213379087932</v>
      </c>
      <c r="AD9" s="3">
        <f t="shared" si="15"/>
        <v>15.756361632079203</v>
      </c>
      <c r="AE9" s="3">
        <f t="shared" si="16"/>
        <v>38.856872686262378</v>
      </c>
      <c r="AF9" s="3">
        <f t="shared" si="17"/>
        <v>135.49132802578345</v>
      </c>
      <c r="AG9" s="3">
        <f t="shared" si="18"/>
        <v>4.2189338561107546</v>
      </c>
      <c r="AH9" s="3">
        <f t="shared" si="19"/>
        <v>14.21084508177586</v>
      </c>
      <c r="AI9" s="3">
        <f t="shared" si="20"/>
        <v>122.55521643433951</v>
      </c>
      <c r="AJ9" s="3">
        <f t="shared" si="21"/>
        <v>130.42013966829447</v>
      </c>
      <c r="AK9" s="3">
        <f t="shared" si="22"/>
        <v>23.562448481772527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</row>
    <row r="10" spans="1:16378" ht="15" thickTop="1" thickBot="1">
      <c r="A10" s="3" t="s">
        <v>48</v>
      </c>
      <c r="B10" s="9" t="s">
        <v>49</v>
      </c>
      <c r="C10" s="35">
        <f t="shared" si="0"/>
        <v>44918.429232956376</v>
      </c>
      <c r="D10" s="16"/>
      <c r="E10" s="17"/>
      <c r="F10" s="3">
        <v>1</v>
      </c>
      <c r="G10" s="3" t="s">
        <v>50</v>
      </c>
      <c r="H10" s="12">
        <v>0</v>
      </c>
      <c r="I10" s="22">
        <f>INT((B7-2000)*C3)+H10</f>
        <v>284</v>
      </c>
      <c r="J10" s="3">
        <f>I10/($C$3*100)</f>
        <v>0.22961988870525599</v>
      </c>
      <c r="K10" s="3">
        <f t="shared" si="1"/>
        <v>2459936.7849672325</v>
      </c>
      <c r="L10" s="3">
        <f t="shared" ref="L10:L41" si="23">(2.5534+29.10535669*I10-0.0000218*J10^2-0.00000011*J10^3)*PI()/180</f>
        <v>144.31210761206802</v>
      </c>
      <c r="M10" s="3">
        <f t="shared" ref="M10:M41" si="24">(201.5643+385.81693528*I10+0.0107437*J10^2+0.00001239*J10^3-0.000000058*J10^4)*PI()/180</f>
        <v>1915.9103064662906</v>
      </c>
      <c r="N10" s="3">
        <f t="shared" ref="N10:N41" si="25">(160.7108+390.67050274*I10-0.0016341*J10^2-0.00000227*J10^3+0.000000011*J10^4)*PI()/180</f>
        <v>1939.2551150578934</v>
      </c>
      <c r="O10" s="3">
        <f t="shared" ref="O10:O41" si="26">(124.7746-1.5637558*I10+0.0020691*J10^2+0.00000215*J10^3)*PI()/180</f>
        <v>-5.5733937262718118</v>
      </c>
      <c r="P10" s="3">
        <f t="shared" ref="P10:P41" si="27">1-0.002516*J10-0.0000074*J10^2</f>
        <v>0.99942188619284722</v>
      </c>
      <c r="Q10" s="3" t="s">
        <v>48</v>
      </c>
      <c r="S10" s="3">
        <f>-0.4072*SIN(M10)+0.17241*P10*SIN(L10)+0.01608*SIN(2*M10)+0.01039*SIN(2*N10)+0.00739*P10*SIN(M10-L10)-0.00514*P10*SIN(M10+L10)+0.00208*P10^2*SIN(2*L10)-0.00111*SIN(M10-2*N10)-0.00057*SIN(M10+2*N10)+0.00056*P10*SIN(2*M10+L10)-0.00042*SIN(3*M10)+0.00042*P10*SIN(L10+2*N10)+0.00038*P10*SIN(L10-2*N10)-0.00024*P10*SIN(2*M10-L10)-0.00017*SIN(O10)-0.00007*SIN(M10+2*L10)+0.00004*SIN(2*M10-2*N10)+0.00004*SIN(3*L10)+0.00003*SIN(M10+L10-2*N10)+0.00003*SIN(2*M10+2*N10)-0.00003*SIN(M10+L10+2*N10)+0.00003*SIN(M10-L10+2*N10)-0.00002*SIN(M10-L10-2*N10)-0.00002*SIN(3*M10+L10)+0.00002*SIN(4*M10)</f>
        <v>0.14495291241868236</v>
      </c>
      <c r="V10" s="3">
        <f t="shared" ref="V10:V41" si="28">0.000325*SIN(X10)+0.000165*SIN(Y10)+0.000164*SIN(Z10)+0.000126*SIN(AA10)+0.00011*SIN(AB10)+0.000062*SIN(AC10)+0.00006*SIN(AD10)+0.000056*SIN(AE10)+0.000047*SIN(AF10)+0.000042*SIN(AG10)+0.00004*SIN(AH10)+0.000037*SIN(AI10)+0.000035*SIN(AJ10)+0.000023*SIN(AK10)</f>
        <v>-6.8718862938454658E-4</v>
      </c>
      <c r="W10" s="3">
        <f t="shared" ref="W10:W41" si="29">K10+R10+S10+T10+U10+V10</f>
        <v>2459936.9292329564</v>
      </c>
      <c r="X10" s="3">
        <f t="shared" ref="X10:X41" si="30">(299.77+0.107408*I10-0.009173*J10^2)*PI()/180</f>
        <v>5.7643580584408216</v>
      </c>
      <c r="Y10" s="3">
        <f t="shared" ref="Y10:Y41" si="31">(251.88+0.016321*I10)*PI()/180</f>
        <v>4.4770341930932274</v>
      </c>
      <c r="Z10" s="3">
        <f t="shared" ref="Z10:Z41" si="32">(251.83+26.651886*I10)*PI()/180</f>
        <v>136.50160082409286</v>
      </c>
      <c r="AA10" s="3">
        <f t="shared" ref="AA10:AA41" si="33">(349.42+36.412478*I10)*PI()/180</f>
        <v>186.58553636675853</v>
      </c>
      <c r="AB10" s="3">
        <f t="shared" ref="AB10:AB41" si="34">(84.66+18.206239*I10)*PI()/180</f>
        <v>91.721099191958373</v>
      </c>
      <c r="AC10" s="3">
        <f t="shared" ref="AC10:AC41" si="35">(141.74+53.303771*I10)*PI()/180</f>
        <v>266.68650106263271</v>
      </c>
      <c r="AD10" s="3">
        <f t="shared" ref="AD10:AD41" si="36">(207.14+2.453732*I10)*PI()/180</f>
        <v>15.777774483259977</v>
      </c>
      <c r="AE10" s="3">
        <f t="shared" ref="AE10:AE41" si="37">(154.84+7.30686*I10)*PI()/180</f>
        <v>38.920637068753521</v>
      </c>
      <c r="AF10" s="3">
        <f t="shared" ref="AF10:AF41" si="38">(34.52+27.261239*I10)*PI()/180</f>
        <v>135.72922721514499</v>
      </c>
      <c r="AG10" s="3">
        <f t="shared" ref="AG10:AG41" si="39">(207.19+0.121824*I10)*PI()/180</f>
        <v>4.21999697106473</v>
      </c>
      <c r="AH10" s="3">
        <f t="shared" ref="AH10:AH41" si="40">(291.34+1.844379*I10)*PI()/180</f>
        <v>14.22694032487818</v>
      </c>
      <c r="AI10" s="3">
        <f t="shared" ref="AI10:AI41" si="41">(161.72+24.198154*I10)*PI()/180</f>
        <v>122.76638516444184</v>
      </c>
      <c r="AJ10" s="3">
        <f t="shared" ref="AJ10:AJ41" si="42">(239.56+25.513099*I10)*PI()/180</f>
        <v>130.6427834582631</v>
      </c>
      <c r="AK10" s="3">
        <f t="shared" ref="AK10:AK41" si="43">(331.55+3.592518*I10)*PI()/180</f>
        <v>23.593799115541106</v>
      </c>
    </row>
    <row r="11" spans="1:16378" ht="14.25" thickTop="1">
      <c r="A11" s="3" t="s">
        <v>51</v>
      </c>
      <c r="B11" s="9" t="s">
        <v>52</v>
      </c>
      <c r="C11" s="35">
        <f t="shared" si="0"/>
        <v>44925.056863516103</v>
      </c>
      <c r="D11" s="19"/>
      <c r="E11" s="17"/>
      <c r="F11" s="3">
        <v>50</v>
      </c>
      <c r="G11" s="3" t="s">
        <v>50</v>
      </c>
      <c r="H11" s="12">
        <f t="shared" ref="H11:H42" si="44">H10+0.25</f>
        <v>0.25</v>
      </c>
      <c r="I11" s="12">
        <f t="shared" ref="I11:I42" si="45">$I$10+H11</f>
        <v>284.25</v>
      </c>
      <c r="J11" s="3">
        <f t="shared" ref="J11:J41" si="46">I11/($C$3*100)</f>
        <v>0.22982201888897541</v>
      </c>
      <c r="K11" s="3">
        <f t="shared" si="1"/>
        <v>2459944.1676145252</v>
      </c>
      <c r="L11" s="3">
        <f t="shared" si="23"/>
        <v>144.43910368808457</v>
      </c>
      <c r="M11" s="3">
        <f t="shared" si="24"/>
        <v>1917.5937504413589</v>
      </c>
      <c r="N11" s="3">
        <f t="shared" si="25"/>
        <v>1940.9597366960522</v>
      </c>
      <c r="O11" s="3">
        <f t="shared" si="26"/>
        <v>-5.5802168947687303</v>
      </c>
      <c r="P11" s="3">
        <f t="shared" si="27"/>
        <v>0.99942137694608857</v>
      </c>
      <c r="Q11" s="3" t="s">
        <v>51</v>
      </c>
      <c r="R11" s="3">
        <f>0.00306-0.00038*P11*COS(L11)+0.00026*COS(M11)-0.00002*COS(M11-L11)+0.00002*COS(M11+L11)+0.00002*COS(2*N11)</f>
        <v>2.7821184553039921E-3</v>
      </c>
      <c r="U11" s="3">
        <f>-0.62801*SIN(M11)+0.17172*P11*SIN(L11)-0.01183*P11*SIN(M11+L11)+0.00862*SIN(2*M11)+0.00804*SIN(2*N11)+0.00454*P11*SIN(M11-L11)+0.00204*P11^2*SIN(2*L11)-0.0018*SIN(M11-2*N11)-0.0007*SIN(M11+2*N11)-0.0004*SIN(3*M11)-0.00034*P11*SIN(2*M11-L11)+0.00032*P11*SIN(L11+2*N11)+0.00032*P11*SIN(L11-2*N11)-0.00028*P11^2*SIN(M11+2*L11)+0.00027*P11*SIN(2*M11+L11)-0.00017*SIN(O11)-0.00005*SIN(M11-L11-2*N11)+0.00004*SIN(2*M11+2*N11)-0.00004*SIN(M11+L11+2*N11)+0.00004*SIN(M11-2*L11)+0.00003*SIN(M11+L11-2*N11)+0.00003*SIN(3*L11)+0.00002*SIN(2*M11-2*N11)+0.00002*SIN(M11-L11+2*N11)-0.00002*SIN(3*M11+L11)</f>
        <v>-0.61281125136120673</v>
      </c>
      <c r="V11" s="3">
        <f t="shared" si="28"/>
        <v>-7.2187590110147748E-4</v>
      </c>
      <c r="W11" s="3">
        <f t="shared" si="29"/>
        <v>2459943.5568635161</v>
      </c>
      <c r="X11" s="3">
        <f t="shared" si="30"/>
        <v>5.7648266993836366</v>
      </c>
      <c r="Y11" s="3">
        <f t="shared" si="31"/>
        <v>4.4771054068900318</v>
      </c>
      <c r="Z11" s="3">
        <f t="shared" si="32"/>
        <v>136.61789161473439</v>
      </c>
      <c r="AA11" s="3">
        <f t="shared" si="33"/>
        <v>186.74441577423605</v>
      </c>
      <c r="AB11" s="3">
        <f t="shared" si="34"/>
        <v>91.800538895697116</v>
      </c>
      <c r="AC11" s="3">
        <f t="shared" si="35"/>
        <v>266.91908263955247</v>
      </c>
      <c r="AD11" s="3">
        <f t="shared" si="36"/>
        <v>15.788480908850364</v>
      </c>
      <c r="AE11" s="3">
        <f t="shared" si="37"/>
        <v>38.952519259999086</v>
      </c>
      <c r="AF11" s="3">
        <f t="shared" si="38"/>
        <v>135.84817680982576</v>
      </c>
      <c r="AG11" s="3">
        <f t="shared" si="39"/>
        <v>4.2205285285417169</v>
      </c>
      <c r="AH11" s="3">
        <f t="shared" si="40"/>
        <v>14.234987946429341</v>
      </c>
      <c r="AI11" s="3">
        <f t="shared" si="41"/>
        <v>122.87196952949299</v>
      </c>
      <c r="AJ11" s="3">
        <f t="shared" si="42"/>
        <v>130.75410535324741</v>
      </c>
      <c r="AK11" s="3">
        <f t="shared" si="43"/>
        <v>23.609474432425401</v>
      </c>
    </row>
    <row r="12" spans="1:16378">
      <c r="A12" s="3" t="s">
        <v>53</v>
      </c>
      <c r="B12" s="9" t="s">
        <v>54</v>
      </c>
      <c r="C12" s="35">
        <f t="shared" si="0"/>
        <v>44932.964771042578</v>
      </c>
      <c r="D12" s="34"/>
      <c r="E12" s="41"/>
      <c r="F12" s="3">
        <v>99</v>
      </c>
      <c r="G12" s="3" t="s">
        <v>50</v>
      </c>
      <c r="H12" s="12">
        <f t="shared" si="44"/>
        <v>0.5</v>
      </c>
      <c r="I12" s="12">
        <f t="shared" si="45"/>
        <v>284.5</v>
      </c>
      <c r="J12" s="3">
        <f t="shared" si="46"/>
        <v>0.23002414907269483</v>
      </c>
      <c r="K12" s="3">
        <f t="shared" si="1"/>
        <v>2459951.5502618179</v>
      </c>
      <c r="L12" s="3">
        <f t="shared" si="23"/>
        <v>144.56609976410112</v>
      </c>
      <c r="M12" s="3">
        <f t="shared" si="24"/>
        <v>1919.2771944164424</v>
      </c>
      <c r="N12" s="3">
        <f t="shared" si="25"/>
        <v>1942.6643583342084</v>
      </c>
      <c r="O12" s="3">
        <f t="shared" si="26"/>
        <v>-5.587040063262692</v>
      </c>
      <c r="P12" s="3">
        <f t="shared" si="27"/>
        <v>0.99942086769872529</v>
      </c>
      <c r="Q12" s="3" t="s">
        <v>53</v>
      </c>
      <c r="T12" s="3">
        <f>-0.40614*SIN(M12)+0.17302*P12*SIN(L12)+0.01614*SIN(2*M12)+0.01043*SIN(2*N12)+0.00734*P12*SIN(M12-L12)-0.00515*P12*SIN(M12+L12)+0.00209*P12^2*SIN(2*L12)-0.00111*SIN(M12-2*N12)-0.00057*SIN(M12+2*N12)+0.00056*P12*SIN(2*M12+L12)-0.00042*SIN(3*M12)+0.00042*P12*SIN(L12+2*N12)+0.00038*P12*SIN(L12-2*N12)-0.00024*P12*SIN(2*M12-L12)-0.00017*SIN(O12)-0.00007*SIN(M12+2*L12)+0.00004*SIN(2*M12-2*N12)+0.00004*SIN(3*L12)+0.00003*SIN(M12+L12-2*N12)+0.00003*SIN(2*M12+2*N12)-0.00003*SIN(M12+L12+2*N12)+0.00003*SIN(M12-L12+2*N12)-0.00002*SIN(M12-L12-2*N12)-0.00002*SIN(3*M12+L12)+0.00002*SIN(4*M12)</f>
        <v>-8.4740555281131794E-2</v>
      </c>
      <c r="V12" s="3">
        <f t="shared" si="28"/>
        <v>-7.5021973855523357E-4</v>
      </c>
      <c r="W12" s="3">
        <f t="shared" si="29"/>
        <v>2459951.4647710426</v>
      </c>
      <c r="X12" s="3">
        <f t="shared" si="30"/>
        <v>5.7652953403133687</v>
      </c>
      <c r="Y12" s="3">
        <f t="shared" si="31"/>
        <v>4.4771766206868371</v>
      </c>
      <c r="Z12" s="3">
        <f t="shared" si="32"/>
        <v>136.73418240537595</v>
      </c>
      <c r="AA12" s="3">
        <f t="shared" si="33"/>
        <v>186.9032951817135</v>
      </c>
      <c r="AB12" s="3">
        <f t="shared" si="34"/>
        <v>91.879978599435873</v>
      </c>
      <c r="AC12" s="3">
        <f t="shared" si="35"/>
        <v>267.15166421647223</v>
      </c>
      <c r="AD12" s="3">
        <f t="shared" si="36"/>
        <v>15.799187334440749</v>
      </c>
      <c r="AE12" s="3">
        <f t="shared" si="37"/>
        <v>38.984401451244658</v>
      </c>
      <c r="AF12" s="3">
        <f t="shared" si="38"/>
        <v>135.96712640450653</v>
      </c>
      <c r="AG12" s="3">
        <f t="shared" si="39"/>
        <v>4.2210600860187046</v>
      </c>
      <c r="AH12" s="3">
        <f t="shared" si="40"/>
        <v>14.243035567980501</v>
      </c>
      <c r="AI12" s="3">
        <f t="shared" si="41"/>
        <v>122.97755389454414</v>
      </c>
      <c r="AJ12" s="3">
        <f t="shared" si="42"/>
        <v>130.86542724823173</v>
      </c>
      <c r="AK12" s="3">
        <f t="shared" si="43"/>
        <v>23.625149749309685</v>
      </c>
    </row>
    <row r="13" spans="1:16378">
      <c r="A13" s="3" t="s">
        <v>55</v>
      </c>
      <c r="B13" s="9" t="s">
        <v>56</v>
      </c>
      <c r="C13" s="35">
        <f t="shared" si="0"/>
        <v>44941.091443458572</v>
      </c>
      <c r="D13" s="34"/>
      <c r="E13" s="41"/>
      <c r="F13" s="3">
        <v>50</v>
      </c>
      <c r="G13" s="3" t="s">
        <v>50</v>
      </c>
      <c r="H13" s="12">
        <f t="shared" si="44"/>
        <v>0.75</v>
      </c>
      <c r="I13" s="12">
        <f t="shared" si="45"/>
        <v>284.75</v>
      </c>
      <c r="J13" s="3">
        <f t="shared" si="46"/>
        <v>0.23022627925641423</v>
      </c>
      <c r="K13" s="3">
        <f t="shared" si="1"/>
        <v>2459958.9329091101</v>
      </c>
      <c r="L13" s="3">
        <f t="shared" si="23"/>
        <v>144.69309584011765</v>
      </c>
      <c r="M13" s="3">
        <f t="shared" si="24"/>
        <v>1920.9606383915411</v>
      </c>
      <c r="N13" s="3">
        <f t="shared" si="25"/>
        <v>1944.3689799723627</v>
      </c>
      <c r="O13" s="3">
        <f t="shared" si="26"/>
        <v>-5.5938632317537031</v>
      </c>
      <c r="P13" s="3">
        <f t="shared" si="27"/>
        <v>0.99942035845075738</v>
      </c>
      <c r="Q13" s="3" t="s">
        <v>55</v>
      </c>
      <c r="R13" s="3">
        <f>-(0.00306-0.00038*P13*COS(L13)+0.00026*COS(M13)-0.00002*COS(M13-L13)+0.00002*COS(M13+L13)+0.00002*COS(2*N13))</f>
        <v>-2.6784874704955477E-3</v>
      </c>
      <c r="U13" s="3">
        <f>-0.62801*SIN(M13)+0.17172*P13*SIN(L13)-0.01183*P13*SIN(M13+L13)+0.00862*SIN(2*M13)+0.00804*SIN(2*N13)+0.00454*P13*SIN(M13-L13)+0.00204*P13^2*SIN(2*L13)-0.0018*SIN(M13-2*N13)-0.0007*SIN(M13+2*N13)-0.0004*SIN(3*M13)-0.00034*P13*SIN(2*M13-L13)+0.00032*P13*SIN(L13+2*N13)+0.00032*P13*SIN(L13-2*N13)-0.00028*P13^2*SIN(M13+2*L13)+0.00027*P13*SIN(2*M13+L13)-0.00017*SIN(O13)-0.00005*SIN(M13-L13-2*N13)+0.00004*SIN(2*M13+2*N13)-0.00004*SIN(M13+L13+2*N13)+0.00004*SIN(M13-2*L13)+0.00003*SIN(M13+L13-2*N13)+0.00003*SIN(3*L13)+0.00002*SIN(2*M13-2*N13)+0.00002*SIN(M13-L13+2*N13)-0.00002*SIN(3*M13+L13)</f>
        <v>0.66198412098006687</v>
      </c>
      <c r="V13" s="3">
        <f t="shared" si="28"/>
        <v>-7.7128481520276143E-4</v>
      </c>
      <c r="W13" s="3">
        <f t="shared" si="29"/>
        <v>2459959.5914434586</v>
      </c>
      <c r="X13" s="3">
        <f t="shared" si="30"/>
        <v>5.7657639812300188</v>
      </c>
      <c r="Y13" s="3">
        <f t="shared" si="31"/>
        <v>4.4772478344836415</v>
      </c>
      <c r="Z13" s="3">
        <f t="shared" si="32"/>
        <v>136.85047319601748</v>
      </c>
      <c r="AA13" s="3">
        <f t="shared" si="33"/>
        <v>187.06217458919102</v>
      </c>
      <c r="AB13" s="3">
        <f t="shared" si="34"/>
        <v>91.95941830317463</v>
      </c>
      <c r="AC13" s="3">
        <f t="shared" si="35"/>
        <v>267.38424579339204</v>
      </c>
      <c r="AD13" s="3">
        <f t="shared" si="36"/>
        <v>15.809893760031136</v>
      </c>
      <c r="AE13" s="3">
        <f t="shared" si="37"/>
        <v>39.016283642490222</v>
      </c>
      <c r="AF13" s="3">
        <f t="shared" si="38"/>
        <v>136.0860759991873</v>
      </c>
      <c r="AG13" s="3">
        <f t="shared" si="39"/>
        <v>4.2215916434956924</v>
      </c>
      <c r="AH13" s="3">
        <f t="shared" si="40"/>
        <v>14.251083189531659</v>
      </c>
      <c r="AI13" s="3">
        <f t="shared" si="41"/>
        <v>123.08313825959532</v>
      </c>
      <c r="AJ13" s="3">
        <f t="shared" si="42"/>
        <v>130.97674914321604</v>
      </c>
      <c r="AK13" s="3">
        <f t="shared" si="43"/>
        <v>23.64082506619398</v>
      </c>
    </row>
    <row r="14" spans="1:16378">
      <c r="A14" s="3" t="s">
        <v>48</v>
      </c>
      <c r="B14" s="9" t="s">
        <v>49</v>
      </c>
      <c r="C14" s="35">
        <f t="shared" si="0"/>
        <v>44947.871163546573</v>
      </c>
      <c r="D14" s="34"/>
      <c r="E14" s="41"/>
      <c r="F14" s="3">
        <v>1</v>
      </c>
      <c r="G14" s="3">
        <f>C14-C10</f>
        <v>29.441930590197444</v>
      </c>
      <c r="H14" s="12">
        <f t="shared" si="44"/>
        <v>1</v>
      </c>
      <c r="I14" s="12">
        <f t="shared" si="45"/>
        <v>285</v>
      </c>
      <c r="J14" s="3">
        <f t="shared" si="46"/>
        <v>0.23042840944013365</v>
      </c>
      <c r="K14" s="3">
        <f t="shared" si="1"/>
        <v>2459966.3155564028</v>
      </c>
      <c r="L14" s="3">
        <f t="shared" si="23"/>
        <v>144.82009191613409</v>
      </c>
      <c r="M14" s="3">
        <f t="shared" si="24"/>
        <v>1922.6440823666553</v>
      </c>
      <c r="N14" s="3">
        <f t="shared" si="25"/>
        <v>1946.0736016105143</v>
      </c>
      <c r="O14" s="3">
        <f t="shared" si="26"/>
        <v>-5.6006864002417611</v>
      </c>
      <c r="P14" s="3">
        <f t="shared" si="27"/>
        <v>0.99941984920218474</v>
      </c>
      <c r="Q14" s="3" t="s">
        <v>48</v>
      </c>
      <c r="S14" s="3">
        <f>-0.4072*SIN(M14)+0.17241*P14*SIN(L14)+0.01608*SIN(2*M14)+0.01039*SIN(2*N14)+0.00739*P14*SIN(M14-L14)-0.00514*P14*SIN(M14+L14)+0.00208*P14^2*SIN(2*L14)-0.00111*SIN(M14-2*N14)-0.00057*SIN(M14+2*N14)+0.00056*P14*SIN(2*M14+L14)-0.00042*SIN(3*M14)+0.00042*P14*SIN(L14+2*N14)+0.00038*P14*SIN(L14-2*N14)-0.00024*P14*SIN(2*M14-L14)-0.00017*SIN(O14)-0.00007*SIN(M14+2*L14)+0.00004*SIN(2*M14-2*N14)+0.00004*SIN(3*L14)+0.00003*SIN(M14+L14-2*N14)+0.00003*SIN(2*M14+2*N14)-0.00003*SIN(M14+L14+2*N14)+0.00003*SIN(M14-L14+2*N14)-0.00002*SIN(M14-L14-2*N14)-0.00002*SIN(3*M14+L14)+0.00002*SIN(4*M14)</f>
        <v>5.6391427385334827E-2</v>
      </c>
      <c r="V14" s="3">
        <f t="shared" si="28"/>
        <v>-7.8428342224167347E-4</v>
      </c>
      <c r="W14" s="3">
        <f t="shared" si="29"/>
        <v>2459966.3711635466</v>
      </c>
      <c r="X14" s="3">
        <f t="shared" si="30"/>
        <v>5.7662326221335878</v>
      </c>
      <c r="Y14" s="3">
        <f t="shared" si="31"/>
        <v>4.477319048280445</v>
      </c>
      <c r="Z14" s="3">
        <f t="shared" si="32"/>
        <v>136.96676398665903</v>
      </c>
      <c r="AA14" s="3">
        <f t="shared" si="33"/>
        <v>187.22105399666856</v>
      </c>
      <c r="AB14" s="3">
        <f t="shared" si="34"/>
        <v>92.038858006913358</v>
      </c>
      <c r="AC14" s="3">
        <f t="shared" si="35"/>
        <v>267.6168273703118</v>
      </c>
      <c r="AD14" s="3">
        <f t="shared" si="36"/>
        <v>15.820600185621522</v>
      </c>
      <c r="AE14" s="3">
        <f t="shared" si="37"/>
        <v>39.048165833735794</v>
      </c>
      <c r="AF14" s="3">
        <f t="shared" si="38"/>
        <v>136.2050255938681</v>
      </c>
      <c r="AG14" s="3">
        <f t="shared" si="39"/>
        <v>4.2221232009726792</v>
      </c>
      <c r="AH14" s="3">
        <f t="shared" si="40"/>
        <v>14.259130811082819</v>
      </c>
      <c r="AI14" s="3">
        <f t="shared" si="41"/>
        <v>123.18872262464647</v>
      </c>
      <c r="AJ14" s="3">
        <f t="shared" si="42"/>
        <v>131.08807103820035</v>
      </c>
      <c r="AK14" s="3">
        <f t="shared" si="43"/>
        <v>23.656500383078271</v>
      </c>
    </row>
    <row r="15" spans="1:16378">
      <c r="A15" s="3" t="s">
        <v>51</v>
      </c>
      <c r="B15" s="9" t="s">
        <v>52</v>
      </c>
      <c r="C15" s="35">
        <f t="shared" si="0"/>
        <v>44954.638971900567</v>
      </c>
      <c r="D15" s="34"/>
      <c r="E15" s="41"/>
      <c r="F15" s="3">
        <v>50</v>
      </c>
      <c r="G15" s="3" t="s">
        <v>50</v>
      </c>
      <c r="H15" s="12">
        <f t="shared" si="44"/>
        <v>1.25</v>
      </c>
      <c r="I15" s="12">
        <f t="shared" si="45"/>
        <v>285.25</v>
      </c>
      <c r="J15" s="3">
        <f t="shared" si="46"/>
        <v>0.23063053962385308</v>
      </c>
      <c r="K15" s="3">
        <f t="shared" si="1"/>
        <v>2459973.6982036955</v>
      </c>
      <c r="L15" s="3">
        <f t="shared" si="23"/>
        <v>144.94708799215053</v>
      </c>
      <c r="M15" s="3">
        <f t="shared" si="24"/>
        <v>1924.3275263417852</v>
      </c>
      <c r="N15" s="3">
        <f t="shared" si="25"/>
        <v>1947.7782232486641</v>
      </c>
      <c r="O15" s="3">
        <f t="shared" si="26"/>
        <v>-5.6075095687268641</v>
      </c>
      <c r="P15" s="3">
        <f t="shared" si="27"/>
        <v>0.99941933995300747</v>
      </c>
      <c r="Q15" s="3" t="s">
        <v>51</v>
      </c>
      <c r="R15" s="3">
        <f>0.00306-0.00038*P15*COS(L15)+0.00026*COS(M15)-0.00002*COS(M15-L15)+0.00002*COS(M15+L15)+0.00002*COS(2*N15)</f>
        <v>2.6921912704102042E-3</v>
      </c>
      <c r="U15" s="3">
        <f>-0.62801*SIN(M15)+0.17172*P15*SIN(L15)-0.01183*P15*SIN(M15+L15)+0.00862*SIN(2*M15)+0.00804*SIN(2*N15)+0.00454*P15*SIN(M15-L15)+0.00204*P15^2*SIN(2*L15)-0.0018*SIN(M15-2*N15)-0.0007*SIN(M15+2*N15)-0.0004*SIN(3*M15)-0.00034*P15*SIN(2*M15-L15)+0.00032*P15*SIN(L15+2*N15)+0.00032*P15*SIN(L15-2*N15)-0.00028*P15^2*SIN(M15+2*L15)+0.00027*P15*SIN(2*M15+L15)-0.00017*SIN(O15)-0.00005*SIN(M15-L15-2*N15)+0.00004*SIN(2*M15+2*N15)-0.00004*SIN(M15+L15+2*N15)+0.00004*SIN(M15-2*L15)+0.00003*SIN(M15+L15-2*N15)+0.00003*SIN(3*L15)+0.00002*SIN(2*M15-2*N15)+0.00002*SIN(M15-L15+2*N15)-0.00002*SIN(3*M15+L15)</f>
        <v>-0.56113537011829051</v>
      </c>
      <c r="V15" s="3">
        <f t="shared" si="28"/>
        <v>-7.8861588315359366E-4</v>
      </c>
      <c r="W15" s="3">
        <f t="shared" si="29"/>
        <v>2459973.1389719006</v>
      </c>
      <c r="X15" s="3">
        <f t="shared" si="30"/>
        <v>5.7667012630240722</v>
      </c>
      <c r="Y15" s="3">
        <f t="shared" si="31"/>
        <v>4.4773902620772494</v>
      </c>
      <c r="Z15" s="3">
        <f t="shared" si="32"/>
        <v>137.08305477730059</v>
      </c>
      <c r="AA15" s="3">
        <f t="shared" si="33"/>
        <v>187.37993340414602</v>
      </c>
      <c r="AB15" s="3">
        <f t="shared" si="34"/>
        <v>92.118297710652115</v>
      </c>
      <c r="AC15" s="3">
        <f t="shared" si="35"/>
        <v>267.84940894723155</v>
      </c>
      <c r="AD15" s="3">
        <f t="shared" si="36"/>
        <v>15.831306611211907</v>
      </c>
      <c r="AE15" s="3">
        <f t="shared" si="37"/>
        <v>39.080048024981359</v>
      </c>
      <c r="AF15" s="3">
        <f t="shared" si="38"/>
        <v>136.32397518854887</v>
      </c>
      <c r="AG15" s="3">
        <f t="shared" si="39"/>
        <v>4.222654758449667</v>
      </c>
      <c r="AH15" s="3">
        <f t="shared" si="40"/>
        <v>14.26717843263398</v>
      </c>
      <c r="AI15" s="3">
        <f t="shared" si="41"/>
        <v>123.29430698969762</v>
      </c>
      <c r="AJ15" s="3">
        <f t="shared" si="42"/>
        <v>131.19939293318467</v>
      </c>
      <c r="AK15" s="3">
        <f t="shared" si="43"/>
        <v>23.672175699962558</v>
      </c>
    </row>
    <row r="16" spans="1:16378">
      <c r="A16" s="3" t="s">
        <v>53</v>
      </c>
      <c r="B16" s="9" t="s">
        <v>54</v>
      </c>
      <c r="C16" s="35">
        <f t="shared" si="0"/>
        <v>44962.770800661761</v>
      </c>
      <c r="D16" s="34"/>
      <c r="E16" s="41"/>
      <c r="F16" s="3">
        <v>99</v>
      </c>
      <c r="G16" s="3" t="s">
        <v>50</v>
      </c>
      <c r="H16" s="12">
        <f t="shared" si="44"/>
        <v>1.5</v>
      </c>
      <c r="I16" s="12">
        <f t="shared" si="45"/>
        <v>285.5</v>
      </c>
      <c r="J16" s="3">
        <f t="shared" si="46"/>
        <v>0.2308326698075725</v>
      </c>
      <c r="K16" s="3">
        <f t="shared" si="1"/>
        <v>2459981.0808509877</v>
      </c>
      <c r="L16" s="3">
        <f t="shared" si="23"/>
        <v>145.07408406816694</v>
      </c>
      <c r="M16" s="3">
        <f t="shared" si="24"/>
        <v>1926.0109703169294</v>
      </c>
      <c r="N16" s="3">
        <f t="shared" si="25"/>
        <v>1949.4828448868107</v>
      </c>
      <c r="O16" s="3">
        <f t="shared" si="26"/>
        <v>-5.6143327372090166</v>
      </c>
      <c r="P16" s="3">
        <f t="shared" si="27"/>
        <v>0.99941883070322546</v>
      </c>
      <c r="Q16" s="3" t="s">
        <v>53</v>
      </c>
      <c r="T16" s="3">
        <f>-0.40614*SIN(M16)+0.17302*P16*SIN(L16)+0.01614*SIN(2*M16)+0.01043*SIN(2*N16)+0.00734*P16*SIN(M16-L16)-0.00515*P16*SIN(M16+L16)+0.00209*P16^2*SIN(2*L16)-0.00111*SIN(M16-2*N16)-0.00057*SIN(M16+2*N16)+0.00056*P16*SIN(2*M16+L16)-0.00042*SIN(3*M16)+0.00042*P16*SIN(L16+2*N16)+0.00038*P16*SIN(L16-2*N16)-0.00024*P16*SIN(2*M16-L16)-0.00017*SIN(O16)-0.00007*SIN(M16+2*L16)+0.00004*SIN(2*M16-2*N16)+0.00004*SIN(3*L16)+0.00003*SIN(M16+L16-2*N16)+0.00003*SIN(2*M16+2*N16)-0.00003*SIN(M16+L16+2*N16)+0.00003*SIN(M16-L16+2*N16)-0.00002*SIN(M16-L16-2*N16)-0.00002*SIN(3*M16+L16)+0.00002*SIN(4*M16)</f>
        <v>0.19073357884596776</v>
      </c>
      <c r="V16" s="3">
        <f t="shared" si="28"/>
        <v>-7.8390505260752359E-4</v>
      </c>
      <c r="W16" s="3">
        <f t="shared" si="29"/>
        <v>2459981.2708006618</v>
      </c>
      <c r="X16" s="3">
        <f t="shared" si="30"/>
        <v>5.7671699039014763</v>
      </c>
      <c r="Y16" s="3">
        <f t="shared" si="31"/>
        <v>4.4774614758740547</v>
      </c>
      <c r="Z16" s="3">
        <f t="shared" si="32"/>
        <v>137.19934556794212</v>
      </c>
      <c r="AA16" s="3">
        <f t="shared" si="33"/>
        <v>187.53881281162353</v>
      </c>
      <c r="AB16" s="3">
        <f t="shared" si="34"/>
        <v>92.197737414390858</v>
      </c>
      <c r="AC16" s="3">
        <f t="shared" si="35"/>
        <v>268.08199052415131</v>
      </c>
      <c r="AD16" s="3">
        <f t="shared" si="36"/>
        <v>15.842013036802294</v>
      </c>
      <c r="AE16" s="3">
        <f t="shared" si="37"/>
        <v>39.111930216226924</v>
      </c>
      <c r="AF16" s="3">
        <f t="shared" si="38"/>
        <v>136.44292478322961</v>
      </c>
      <c r="AG16" s="3">
        <f t="shared" si="39"/>
        <v>4.2231863159266547</v>
      </c>
      <c r="AH16" s="3">
        <f t="shared" si="40"/>
        <v>14.27522605418514</v>
      </c>
      <c r="AI16" s="3">
        <f t="shared" si="41"/>
        <v>123.3998913547488</v>
      </c>
      <c r="AJ16" s="3">
        <f t="shared" si="42"/>
        <v>131.31071482816901</v>
      </c>
      <c r="AK16" s="3">
        <f t="shared" si="43"/>
        <v>23.687851016846849</v>
      </c>
    </row>
    <row r="17" spans="1:37">
      <c r="A17" s="3" t="s">
        <v>55</v>
      </c>
      <c r="B17" s="9" t="s">
        <v>56</v>
      </c>
      <c r="C17" s="35">
        <f t="shared" si="0"/>
        <v>44970.6680760975</v>
      </c>
      <c r="D17" s="34"/>
      <c r="E17" s="41"/>
      <c r="F17" s="3">
        <v>50</v>
      </c>
      <c r="G17" s="3" t="s">
        <v>50</v>
      </c>
      <c r="H17" s="12">
        <f t="shared" si="44"/>
        <v>1.75</v>
      </c>
      <c r="I17" s="12">
        <f t="shared" si="45"/>
        <v>285.75</v>
      </c>
      <c r="J17" s="3">
        <f t="shared" si="46"/>
        <v>0.23103479999129189</v>
      </c>
      <c r="K17" s="3">
        <f t="shared" si="1"/>
        <v>2459988.4634982804</v>
      </c>
      <c r="L17" s="3">
        <f t="shared" si="23"/>
        <v>145.20108014418332</v>
      </c>
      <c r="M17" s="3">
        <f t="shared" si="24"/>
        <v>1927.69441429209</v>
      </c>
      <c r="N17" s="3">
        <f t="shared" si="25"/>
        <v>1951.1874665249557</v>
      </c>
      <c r="O17" s="3">
        <f t="shared" si="26"/>
        <v>-5.621155905688215</v>
      </c>
      <c r="P17" s="3">
        <f t="shared" si="27"/>
        <v>0.99941832145283871</v>
      </c>
      <c r="Q17" s="3" t="s">
        <v>55</v>
      </c>
      <c r="R17" s="3">
        <f>-(0.00306-0.00038*P17*COS(L17)+0.00026*COS(M17)-0.00002*COS(M17-L17)+0.00002*COS(M17+L17)+0.00002*COS(2*N17))</f>
        <v>-2.8915956212663672E-3</v>
      </c>
      <c r="U17" s="3">
        <f>-0.62801*SIN(M17)+0.17172*P17*SIN(L17)-0.01183*P17*SIN(M17+L17)+0.00862*SIN(2*M17)+0.00804*SIN(2*N17)+0.00454*P17*SIN(M17-L17)+0.00204*P17^2*SIN(2*L17)-0.0018*SIN(M17-2*N17)-0.0007*SIN(M17+2*N17)-0.0004*SIN(3*M17)-0.00034*P17*SIN(2*M17-L17)+0.00032*P17*SIN(L17+2*N17)+0.00032*P17*SIN(L17-2*N17)-0.00028*P17^2*SIN(M17+2*L17)+0.00027*P17*SIN(2*M17+L17)-0.00017*SIN(O17)-0.00005*SIN(M17-L17-2*N17)+0.00004*SIN(2*M17+2*N17)-0.00004*SIN(M17+L17+2*N17)+0.00004*SIN(M17-2*L17)+0.00003*SIN(M17+L17-2*N17)+0.00003*SIN(3*L17)+0.00002*SIN(2*M17-2*N17)+0.00002*SIN(M17-L17+2*N17)-0.00002*SIN(3*M17+L17)</f>
        <v>0.70823943557234093</v>
      </c>
      <c r="V17" s="3">
        <f t="shared" si="28"/>
        <v>-7.7002296298852386E-4</v>
      </c>
      <c r="W17" s="3">
        <f t="shared" si="29"/>
        <v>2459989.1680760975</v>
      </c>
      <c r="X17" s="3">
        <f t="shared" si="30"/>
        <v>5.7676385447657976</v>
      </c>
      <c r="Y17" s="3">
        <f t="shared" si="31"/>
        <v>4.47753268967086</v>
      </c>
      <c r="Z17" s="3">
        <f t="shared" si="32"/>
        <v>137.31563635858367</v>
      </c>
      <c r="AA17" s="3">
        <f t="shared" si="33"/>
        <v>187.69769221910104</v>
      </c>
      <c r="AB17" s="3">
        <f t="shared" si="34"/>
        <v>92.277177118129615</v>
      </c>
      <c r="AC17" s="3">
        <f t="shared" si="35"/>
        <v>268.31457210107112</v>
      </c>
      <c r="AD17" s="3">
        <f t="shared" si="36"/>
        <v>15.852719462392681</v>
      </c>
      <c r="AE17" s="3">
        <f t="shared" si="37"/>
        <v>39.143812407472495</v>
      </c>
      <c r="AF17" s="3">
        <f t="shared" si="38"/>
        <v>136.56187437791039</v>
      </c>
      <c r="AG17" s="3">
        <f t="shared" si="39"/>
        <v>4.2237178734036416</v>
      </c>
      <c r="AH17" s="3">
        <f t="shared" si="40"/>
        <v>14.2832736757363</v>
      </c>
      <c r="AI17" s="3">
        <f t="shared" si="41"/>
        <v>123.50547571979995</v>
      </c>
      <c r="AJ17" s="3">
        <f t="shared" si="42"/>
        <v>131.42203672315333</v>
      </c>
      <c r="AK17" s="3">
        <f t="shared" si="43"/>
        <v>23.703526333731137</v>
      </c>
    </row>
    <row r="18" spans="1:37">
      <c r="A18" s="3" t="s">
        <v>48</v>
      </c>
      <c r="B18" s="9" t="s">
        <v>49</v>
      </c>
      <c r="C18" s="35">
        <f t="shared" si="0"/>
        <v>44977.296554942615</v>
      </c>
      <c r="D18" s="34"/>
      <c r="E18" s="41"/>
      <c r="F18" s="3">
        <v>1</v>
      </c>
      <c r="G18" s="3">
        <f>C18-C14</f>
        <v>29.42539139604196</v>
      </c>
      <c r="H18" s="12">
        <f t="shared" si="44"/>
        <v>2</v>
      </c>
      <c r="I18" s="12">
        <f t="shared" si="45"/>
        <v>286</v>
      </c>
      <c r="J18" s="3">
        <f t="shared" si="46"/>
        <v>0.23123693017501132</v>
      </c>
      <c r="K18" s="3">
        <f t="shared" si="1"/>
        <v>2459995.8461455726</v>
      </c>
      <c r="L18" s="3">
        <f t="shared" si="23"/>
        <v>145.32807622019968</v>
      </c>
      <c r="M18" s="3">
        <f t="shared" si="24"/>
        <v>1929.3778582672651</v>
      </c>
      <c r="N18" s="3">
        <f t="shared" si="25"/>
        <v>1952.8920881630982</v>
      </c>
      <c r="O18" s="3">
        <f t="shared" si="26"/>
        <v>-5.6279790741644584</v>
      </c>
      <c r="P18" s="3">
        <f t="shared" si="27"/>
        <v>0.99941781220184733</v>
      </c>
      <c r="Q18" s="3" t="s">
        <v>48</v>
      </c>
      <c r="S18" s="3">
        <f>-0.4072*SIN(M18)+0.17241*P18*SIN(L18)+0.01608*SIN(2*M18)+0.01039*SIN(2*N18)+0.00739*P18*SIN(M18-L18)-0.00514*P18*SIN(M18+L18)+0.00208*P18^2*SIN(2*L18)-0.00111*SIN(M18-2*N18)-0.00057*SIN(M18+2*N18)+0.00056*P18*SIN(2*M18+L18)-0.00042*SIN(3*M18)+0.00042*P18*SIN(L18+2*N18)+0.00038*P18*SIN(L18-2*N18)-0.00024*P18*SIN(2*M18-L18)-0.00017*SIN(O18)-0.00007*SIN(M18+2*L18)+0.00004*SIN(2*M18-2*N18)+0.00004*SIN(3*L18)+0.00003*SIN(M18+L18-2*N18)+0.00003*SIN(2*M18+2*N18)-0.00003*SIN(M18+L18+2*N18)+0.00003*SIN(M18-L18+2*N18)-0.00002*SIN(M18-L18-2*N18)-0.00002*SIN(3*M18+L18)+0.00002*SIN(4*M18)</f>
        <v>-4.8843522083440734E-2</v>
      </c>
      <c r="V18" s="3">
        <f t="shared" si="28"/>
        <v>-7.4710802470384088E-4</v>
      </c>
      <c r="W18" s="3">
        <f t="shared" si="29"/>
        <v>2459995.7965549426</v>
      </c>
      <c r="X18" s="3">
        <f t="shared" si="30"/>
        <v>5.7681071856170361</v>
      </c>
      <c r="Y18" s="3">
        <f t="shared" si="31"/>
        <v>4.4776039034676636</v>
      </c>
      <c r="Z18" s="3">
        <f t="shared" si="32"/>
        <v>137.43192714922523</v>
      </c>
      <c r="AA18" s="3">
        <f t="shared" si="33"/>
        <v>187.85657162657853</v>
      </c>
      <c r="AB18" s="3">
        <f t="shared" si="34"/>
        <v>92.356616821868371</v>
      </c>
      <c r="AC18" s="3">
        <f t="shared" si="35"/>
        <v>268.54715367799082</v>
      </c>
      <c r="AD18" s="3">
        <f t="shared" si="36"/>
        <v>15.863425887983066</v>
      </c>
      <c r="AE18" s="3">
        <f t="shared" si="37"/>
        <v>39.175694598718067</v>
      </c>
      <c r="AF18" s="3">
        <f t="shared" si="38"/>
        <v>136.68082397259118</v>
      </c>
      <c r="AG18" s="3">
        <f t="shared" si="39"/>
        <v>4.2242494308806293</v>
      </c>
      <c r="AH18" s="3">
        <f t="shared" si="40"/>
        <v>14.291321297287462</v>
      </c>
      <c r="AI18" s="3">
        <f t="shared" si="41"/>
        <v>123.6110600848511</v>
      </c>
      <c r="AJ18" s="3">
        <f t="shared" si="42"/>
        <v>131.53335861813764</v>
      </c>
      <c r="AK18" s="3">
        <f t="shared" si="43"/>
        <v>23.719201650615432</v>
      </c>
    </row>
    <row r="19" spans="1:37">
      <c r="A19" s="3" t="s">
        <v>51</v>
      </c>
      <c r="B19" s="9" t="s">
        <v>52</v>
      </c>
      <c r="C19" s="35">
        <f t="shared" si="0"/>
        <v>44984.338145468384</v>
      </c>
      <c r="D19" s="34"/>
      <c r="E19" s="41"/>
      <c r="F19" s="3">
        <v>50</v>
      </c>
      <c r="G19" s="3" t="s">
        <v>50</v>
      </c>
      <c r="H19" s="12">
        <f t="shared" si="44"/>
        <v>2.25</v>
      </c>
      <c r="I19" s="12">
        <f t="shared" si="45"/>
        <v>286.25</v>
      </c>
      <c r="J19" s="3">
        <f t="shared" si="46"/>
        <v>0.23143906035873074</v>
      </c>
      <c r="K19" s="3">
        <f t="shared" si="1"/>
        <v>2460003.2287928653</v>
      </c>
      <c r="L19" s="3">
        <f t="shared" si="23"/>
        <v>145.45507229621597</v>
      </c>
      <c r="M19" s="3">
        <f t="shared" si="24"/>
        <v>1931.0613022424561</v>
      </c>
      <c r="N19" s="3">
        <f t="shared" si="25"/>
        <v>1954.5967098012379</v>
      </c>
      <c r="O19" s="3">
        <f t="shared" si="26"/>
        <v>-5.6348022426377531</v>
      </c>
      <c r="P19" s="3">
        <f t="shared" si="27"/>
        <v>0.99941730295025144</v>
      </c>
      <c r="Q19" s="3" t="s">
        <v>51</v>
      </c>
      <c r="R19" s="3">
        <f>0.00306-0.00038*P19*COS(L19)+0.00026*COS(M19)-0.00002*COS(M19-L19)+0.00002*COS(M19+L19)+0.00002*COS(2*N19)</f>
        <v>2.6824718902292415E-3</v>
      </c>
      <c r="U19" s="3">
        <f>-0.62801*SIN(M19)+0.17172*P19*SIN(L19)-0.01183*P19*SIN(M19+L19)+0.00862*SIN(2*M19)+0.00804*SIN(2*N19)+0.00454*P19*SIN(M19-L19)+0.00204*P19^2*SIN(2*L19)-0.0018*SIN(M19-2*N19)-0.0007*SIN(M19+2*N19)-0.0004*SIN(3*M19)-0.00034*P19*SIN(2*M19-L19)+0.00032*P19*SIN(L19+2*N19)+0.00032*P19*SIN(L19-2*N19)-0.00028*P19^2*SIN(M19+2*L19)+0.00027*P19*SIN(2*M19+L19)-0.00017*SIN(O19)-0.00005*SIN(M19-L19-2*N19)+0.00004*SIN(2*M19+2*N19)-0.00004*SIN(M19+L19+2*N19)+0.00004*SIN(M19-2*L19)+0.00003*SIN(M19+L19-2*N19)+0.00003*SIN(3*L19)+0.00002*SIN(2*M19-2*N19)+0.00002*SIN(M19-L19+2*N19)-0.00002*SIN(3*M19+L19)</f>
        <v>-0.39261429735231484</v>
      </c>
      <c r="V19" s="3">
        <f t="shared" si="28"/>
        <v>-7.1557161891496889E-4</v>
      </c>
      <c r="W19" s="3">
        <f t="shared" si="29"/>
        <v>2460002.8381454684</v>
      </c>
      <c r="X19" s="3">
        <f t="shared" si="30"/>
        <v>5.7685758264551925</v>
      </c>
      <c r="Y19" s="3">
        <f t="shared" si="31"/>
        <v>4.477675117264468</v>
      </c>
      <c r="Z19" s="3">
        <f t="shared" si="32"/>
        <v>137.54821793986676</v>
      </c>
      <c r="AA19" s="3">
        <f t="shared" si="33"/>
        <v>188.01545103405604</v>
      </c>
      <c r="AB19" s="3">
        <f t="shared" si="34"/>
        <v>92.436056525607114</v>
      </c>
      <c r="AC19" s="3">
        <f t="shared" si="35"/>
        <v>268.77973525491063</v>
      </c>
      <c r="AD19" s="3">
        <f t="shared" si="36"/>
        <v>15.874132313573455</v>
      </c>
      <c r="AE19" s="3">
        <f t="shared" si="37"/>
        <v>39.207576789963632</v>
      </c>
      <c r="AF19" s="3">
        <f t="shared" si="38"/>
        <v>136.79977356727193</v>
      </c>
      <c r="AG19" s="3">
        <f t="shared" si="39"/>
        <v>4.2247809883576162</v>
      </c>
      <c r="AH19" s="3">
        <f t="shared" si="40"/>
        <v>14.299368918838622</v>
      </c>
      <c r="AI19" s="3">
        <f t="shared" si="41"/>
        <v>123.71664444990226</v>
      </c>
      <c r="AJ19" s="3">
        <f t="shared" si="42"/>
        <v>131.64468051312195</v>
      </c>
      <c r="AK19" s="3">
        <f t="shared" si="43"/>
        <v>23.734876967499719</v>
      </c>
    </row>
    <row r="20" spans="1:37">
      <c r="A20" s="3" t="s">
        <v>53</v>
      </c>
      <c r="B20" s="9" t="s">
        <v>54</v>
      </c>
      <c r="C20" s="35">
        <f t="shared" si="0"/>
        <v>44992.528968110681</v>
      </c>
      <c r="D20" s="34"/>
      <c r="E20" s="41"/>
      <c r="F20" s="3">
        <v>99</v>
      </c>
      <c r="G20" s="3" t="s">
        <v>50</v>
      </c>
      <c r="H20" s="12">
        <f t="shared" si="44"/>
        <v>2.5</v>
      </c>
      <c r="I20" s="12">
        <f t="shared" si="45"/>
        <v>286.5</v>
      </c>
      <c r="J20" s="3">
        <f t="shared" si="46"/>
        <v>0.23164119054245014</v>
      </c>
      <c r="K20" s="3">
        <f t="shared" si="1"/>
        <v>2460010.611440158</v>
      </c>
      <c r="L20" s="3">
        <f t="shared" si="23"/>
        <v>145.5820683722323</v>
      </c>
      <c r="M20" s="3">
        <f t="shared" si="24"/>
        <v>1932.7447462176626</v>
      </c>
      <c r="N20" s="3">
        <f t="shared" si="25"/>
        <v>1956.3013314393759</v>
      </c>
      <c r="O20" s="3">
        <f t="shared" si="26"/>
        <v>-5.641625411108091</v>
      </c>
      <c r="P20" s="3">
        <f t="shared" si="27"/>
        <v>0.9994167936980507</v>
      </c>
      <c r="Q20" s="3" t="s">
        <v>53</v>
      </c>
      <c r="T20" s="3">
        <f>-0.40614*SIN(M20)+0.17302*P20*SIN(L20)+0.01614*SIN(2*M20)+0.01043*SIN(2*N20)+0.00734*P20*SIN(M20-L20)-0.00515*P20*SIN(M20+L20)+0.00209*P20^2*SIN(2*L20)-0.00111*SIN(M20-2*N20)-0.00057*SIN(M20+2*N20)+0.00056*P20*SIN(2*M20+L20)-0.00042*SIN(3*M20)+0.00042*P20*SIN(L20+2*N20)+0.00038*P20*SIN(L20-2*N20)-0.00024*P20*SIN(2*M20-L20)-0.00017*SIN(O20)-0.00007*SIN(M20+2*L20)+0.00004*SIN(2*M20-2*N20)+0.00004*SIN(3*L20)+0.00003*SIN(M20+L20-2*N20)+0.00003*SIN(2*M20+2*N20)-0.00003*SIN(M20+L20+2*N20)+0.00003*SIN(M20-L20+2*N20)-0.00002*SIN(M20-L20-2*N20)-0.00002*SIN(3*M20+L20)+0.00002*SIN(4*M20)</f>
        <v>0.41820404643222253</v>
      </c>
      <c r="V20" s="3">
        <f t="shared" si="28"/>
        <v>-6.760934217833628E-4</v>
      </c>
      <c r="W20" s="3">
        <f t="shared" si="29"/>
        <v>2460011.0289681107</v>
      </c>
      <c r="X20" s="3">
        <f t="shared" si="30"/>
        <v>5.7690444672802679</v>
      </c>
      <c r="Y20" s="3">
        <f t="shared" si="31"/>
        <v>4.4777463310612724</v>
      </c>
      <c r="Z20" s="3">
        <f t="shared" si="32"/>
        <v>137.66450873050832</v>
      </c>
      <c r="AA20" s="3">
        <f t="shared" si="33"/>
        <v>188.17433044153353</v>
      </c>
      <c r="AB20" s="3">
        <f t="shared" si="34"/>
        <v>92.515496229345871</v>
      </c>
      <c r="AC20" s="3">
        <f t="shared" si="35"/>
        <v>269.01231683183039</v>
      </c>
      <c r="AD20" s="3">
        <f t="shared" si="36"/>
        <v>15.88483873916384</v>
      </c>
      <c r="AE20" s="3">
        <f t="shared" si="37"/>
        <v>39.239458981209204</v>
      </c>
      <c r="AF20" s="3">
        <f t="shared" si="38"/>
        <v>136.91872316195273</v>
      </c>
      <c r="AG20" s="3">
        <f t="shared" si="39"/>
        <v>4.2253125458346039</v>
      </c>
      <c r="AH20" s="3">
        <f t="shared" si="40"/>
        <v>14.307416540389783</v>
      </c>
      <c r="AI20" s="3">
        <f t="shared" si="41"/>
        <v>123.82222881495343</v>
      </c>
      <c r="AJ20" s="3">
        <f t="shared" si="42"/>
        <v>131.75600240810627</v>
      </c>
      <c r="AK20" s="3">
        <f t="shared" si="43"/>
        <v>23.750552284384014</v>
      </c>
    </row>
    <row r="21" spans="1:37">
      <c r="A21" s="3" t="s">
        <v>55</v>
      </c>
      <c r="B21" s="9" t="s">
        <v>56</v>
      </c>
      <c r="C21" s="35">
        <f t="shared" si="0"/>
        <v>45000.089990485925</v>
      </c>
      <c r="D21" s="17"/>
      <c r="E21" s="17"/>
      <c r="F21" s="3">
        <v>50</v>
      </c>
      <c r="G21" s="3" t="s">
        <v>50</v>
      </c>
      <c r="H21" s="12">
        <f t="shared" si="44"/>
        <v>2.75</v>
      </c>
      <c r="I21" s="12">
        <f t="shared" si="45"/>
        <v>286.75</v>
      </c>
      <c r="J21" s="3">
        <f t="shared" si="46"/>
        <v>0.23184332072616956</v>
      </c>
      <c r="K21" s="3">
        <f t="shared" si="1"/>
        <v>2460017.9940874507</v>
      </c>
      <c r="L21" s="3">
        <f t="shared" si="23"/>
        <v>145.70906444824857</v>
      </c>
      <c r="M21" s="3">
        <f t="shared" si="24"/>
        <v>1934.4281901928834</v>
      </c>
      <c r="N21" s="3">
        <f t="shared" si="25"/>
        <v>1958.0059530775115</v>
      </c>
      <c r="O21" s="3">
        <f t="shared" si="26"/>
        <v>-5.6484485795754775</v>
      </c>
      <c r="P21" s="3">
        <f t="shared" si="27"/>
        <v>0.99941628444524522</v>
      </c>
      <c r="Q21" s="3" t="s">
        <v>55</v>
      </c>
      <c r="R21" s="3">
        <f>-(0.00306-0.00038*P21*COS(L21)+0.00026*COS(M21)-0.00002*COS(M21-L21)+0.00002*COS(M21+L21)+0.00002*COS(2*N21))</f>
        <v>-3.1295479446312919E-3</v>
      </c>
      <c r="U21" s="3">
        <f>-0.62801*SIN(M21)+0.17172*P21*SIN(L21)-0.01183*P21*SIN(M21+L21)+0.00862*SIN(2*M21)+0.00804*SIN(2*N21)+0.00454*P21*SIN(M21-L21)+0.00204*P21^2*SIN(2*L21)-0.0018*SIN(M21-2*N21)-0.0007*SIN(M21+2*N21)-0.0004*SIN(3*M21)-0.00034*P21*SIN(2*M21-L21)+0.00032*P21*SIN(L21+2*N21)+0.00032*P21*SIN(L21-2*N21)-0.00028*P21^2*SIN(M21+2*L21)+0.00027*P21*SIN(2*M21+L21)-0.00017*SIN(O21)-0.00005*SIN(M21-L21-2*N21)+0.00004*SIN(2*M21+2*N21)-0.00004*SIN(M21+L21+2*N21)+0.00004*SIN(M21-2*L21)+0.00003*SIN(M21+L21-2*N21)+0.00003*SIN(3*L21)+0.00002*SIN(2*M21-2*N21)+0.00002*SIN(M21-L21+2*N21)-0.00002*SIN(3*M21+L21)</f>
        <v>0.59966218859006093</v>
      </c>
      <c r="V21" s="3">
        <f t="shared" si="28"/>
        <v>-6.296053422471617E-4</v>
      </c>
      <c r="W21" s="3">
        <f t="shared" si="29"/>
        <v>2460018.5899904859</v>
      </c>
      <c r="X21" s="3">
        <f t="shared" si="30"/>
        <v>5.7695131080922595</v>
      </c>
      <c r="Y21" s="3">
        <f t="shared" si="31"/>
        <v>4.4778175448580759</v>
      </c>
      <c r="Z21" s="3">
        <f t="shared" si="32"/>
        <v>137.78079952114985</v>
      </c>
      <c r="AA21" s="3">
        <f t="shared" si="33"/>
        <v>188.33320984901104</v>
      </c>
      <c r="AB21" s="3">
        <f t="shared" si="34"/>
        <v>92.594935933084628</v>
      </c>
      <c r="AC21" s="3">
        <f t="shared" si="35"/>
        <v>269.2448984087502</v>
      </c>
      <c r="AD21" s="3">
        <f t="shared" si="36"/>
        <v>15.895545164754228</v>
      </c>
      <c r="AE21" s="3">
        <f t="shared" si="37"/>
        <v>39.271341172454768</v>
      </c>
      <c r="AF21" s="3">
        <f t="shared" si="38"/>
        <v>137.03767275663347</v>
      </c>
      <c r="AG21" s="3">
        <f t="shared" si="39"/>
        <v>4.2258441033115908</v>
      </c>
      <c r="AH21" s="3">
        <f t="shared" si="40"/>
        <v>14.315464161940941</v>
      </c>
      <c r="AI21" s="3">
        <f t="shared" si="41"/>
        <v>123.92781318000456</v>
      </c>
      <c r="AJ21" s="3">
        <f t="shared" si="42"/>
        <v>131.86732430309058</v>
      </c>
      <c r="AK21" s="3">
        <f t="shared" si="43"/>
        <v>23.766227601268302</v>
      </c>
    </row>
    <row r="22" spans="1:37">
      <c r="A22" s="3" t="s">
        <v>48</v>
      </c>
      <c r="B22" s="9" t="s">
        <v>49</v>
      </c>
      <c r="C22" s="35">
        <f t="shared" si="0"/>
        <v>45006.725246062502</v>
      </c>
      <c r="D22" s="16"/>
      <c r="E22" s="17"/>
      <c r="F22" s="3">
        <v>1</v>
      </c>
      <c r="G22" s="3">
        <f>C22-C18</f>
        <v>29.428691119886935</v>
      </c>
      <c r="H22" s="12">
        <f t="shared" si="44"/>
        <v>3</v>
      </c>
      <c r="I22" s="12">
        <f t="shared" si="45"/>
        <v>287</v>
      </c>
      <c r="J22" s="3">
        <f t="shared" si="46"/>
        <v>0.23204545090988898</v>
      </c>
      <c r="K22" s="3">
        <f t="shared" si="1"/>
        <v>2460025.3767347434</v>
      </c>
      <c r="L22" s="3">
        <f t="shared" si="23"/>
        <v>145.83606052426475</v>
      </c>
      <c r="M22" s="3">
        <f t="shared" si="24"/>
        <v>1936.1116341681206</v>
      </c>
      <c r="N22" s="3">
        <f t="shared" si="25"/>
        <v>1959.7105747156447</v>
      </c>
      <c r="O22" s="3">
        <f t="shared" si="26"/>
        <v>-5.6552717480399117</v>
      </c>
      <c r="P22" s="3">
        <f t="shared" si="27"/>
        <v>0.99941577519183522</v>
      </c>
      <c r="Q22" s="3" t="s">
        <v>48</v>
      </c>
      <c r="S22" s="3">
        <f>-0.4072*SIN(M22)+0.17241*P22*SIN(L22)+0.01608*SIN(2*M22)+0.01039*SIN(2*N22)+0.00739*P22*SIN(M22-L22)-0.00514*P22*SIN(M22+L22)+0.00208*P22^2*SIN(2*L22)-0.00111*SIN(M22-2*N22)-0.00057*SIN(M22+2*N22)+0.00056*P22*SIN(2*M22+L22)-0.00042*SIN(3*M22)+0.00042*P22*SIN(L22+2*N22)+0.00038*P22*SIN(L22-2*N22)-0.00024*P22*SIN(2*M22-L22)-0.00017*SIN(O22)-0.00007*SIN(M22+2*L22)+0.00004*SIN(2*M22-2*N22)+0.00004*SIN(3*L22)+0.00003*SIN(M22+L22-2*N22)+0.00003*SIN(2*M22+2*N22)-0.00003*SIN(M22+L22+2*N22)+0.00003*SIN(M22-L22+2*N22)-0.00002*SIN(M22-L22-2*N22)-0.00002*SIN(3*M22+L22)+0.00002*SIN(4*M22)</f>
        <v>-0.1509114165123219</v>
      </c>
      <c r="V22" s="3">
        <f t="shared" si="28"/>
        <v>-5.7726451286344645E-4</v>
      </c>
      <c r="W22" s="3">
        <f t="shared" si="29"/>
        <v>2460025.2252460625</v>
      </c>
      <c r="X22" s="3">
        <f t="shared" si="30"/>
        <v>5.76998174889117</v>
      </c>
      <c r="Y22" s="3">
        <f t="shared" si="31"/>
        <v>4.4778887586548812</v>
      </c>
      <c r="Z22" s="3">
        <f t="shared" si="32"/>
        <v>137.8970903117914</v>
      </c>
      <c r="AA22" s="3">
        <f t="shared" si="33"/>
        <v>188.49208925648855</v>
      </c>
      <c r="AB22" s="3">
        <f t="shared" si="34"/>
        <v>92.67437563682337</v>
      </c>
      <c r="AC22" s="3">
        <f t="shared" si="35"/>
        <v>269.4774799856699</v>
      </c>
      <c r="AD22" s="3">
        <f t="shared" si="36"/>
        <v>15.906251590344613</v>
      </c>
      <c r="AE22" s="3">
        <f t="shared" si="37"/>
        <v>39.303223363700333</v>
      </c>
      <c r="AF22" s="3">
        <f t="shared" si="38"/>
        <v>137.15662235131427</v>
      </c>
      <c r="AG22" s="3">
        <f t="shared" si="39"/>
        <v>4.2263756607885785</v>
      </c>
      <c r="AH22" s="3">
        <f t="shared" si="40"/>
        <v>14.323511783492101</v>
      </c>
      <c r="AI22" s="3">
        <f t="shared" si="41"/>
        <v>124.03339754505573</v>
      </c>
      <c r="AJ22" s="3">
        <f t="shared" si="42"/>
        <v>131.9786461980749</v>
      </c>
      <c r="AK22" s="3">
        <f t="shared" si="43"/>
        <v>23.781902918152593</v>
      </c>
    </row>
    <row r="23" spans="1:37">
      <c r="A23" s="3" t="s">
        <v>51</v>
      </c>
      <c r="B23" s="9" t="s">
        <v>52</v>
      </c>
      <c r="C23" s="35">
        <f t="shared" si="0"/>
        <v>45014.106727323961</v>
      </c>
      <c r="D23" s="17"/>
      <c r="E23" s="17"/>
      <c r="F23" s="3">
        <v>50</v>
      </c>
      <c r="G23" s="3" t="s">
        <v>50</v>
      </c>
      <c r="H23" s="12">
        <f t="shared" si="44"/>
        <v>3.25</v>
      </c>
      <c r="I23" s="12">
        <f t="shared" si="45"/>
        <v>287.25</v>
      </c>
      <c r="J23" s="3">
        <f t="shared" si="46"/>
        <v>0.23224758109360841</v>
      </c>
      <c r="K23" s="3">
        <f t="shared" si="1"/>
        <v>2460032.759382036</v>
      </c>
      <c r="L23" s="3">
        <f t="shared" si="23"/>
        <v>145.96305660028094</v>
      </c>
      <c r="M23" s="3">
        <f t="shared" si="24"/>
        <v>1937.7950781433724</v>
      </c>
      <c r="N23" s="3">
        <f t="shared" si="25"/>
        <v>1961.4151963537754</v>
      </c>
      <c r="O23" s="3">
        <f t="shared" si="26"/>
        <v>-5.6620949165013927</v>
      </c>
      <c r="P23" s="3">
        <f t="shared" si="27"/>
        <v>0.99941526593782037</v>
      </c>
      <c r="Q23" s="3" t="s">
        <v>51</v>
      </c>
      <c r="R23" s="3">
        <f>0.00306-0.00038*P23*COS(L23)+0.00026*COS(M23)-0.00002*COS(M23-L23)+0.00002*COS(M23+L23)+0.00002*COS(2*N23)</f>
        <v>2.763092367034098E-3</v>
      </c>
      <c r="U23" s="3">
        <f>-0.62801*SIN(M23)+0.17172*P23*SIN(L23)-0.01183*P23*SIN(M23+L23)+0.00862*SIN(2*M23)+0.00804*SIN(2*N23)+0.00454*P23*SIN(M23-L23)+0.00204*P23^2*SIN(2*L23)-0.0018*SIN(M23-2*N23)-0.0007*SIN(M23+2*N23)-0.0004*SIN(3*M23)-0.00034*P23*SIN(2*M23-L23)+0.00032*P23*SIN(L23+2*N23)+0.00032*P23*SIN(L23-2*N23)-0.00028*P23^2*SIN(M23+2*L23)+0.00027*P23*SIN(2*M23+L23)-0.00017*SIN(O23)-0.00005*SIN(M23-L23-2*N23)+0.00004*SIN(2*M23+2*N23)-0.00004*SIN(M23+L23+2*N23)+0.00004*SIN(M23-2*L23)+0.00003*SIN(M23+L23-2*N23)+0.00003*SIN(3*L23)+0.00002*SIN(2*M23-2*N23)+0.00002*SIN(M23-L23+2*N23)-0.00002*SIN(3*M23+L23)</f>
        <v>-0.1548973882785919</v>
      </c>
      <c r="V23" s="3">
        <f t="shared" si="28"/>
        <v>-5.2041631647507152E-4</v>
      </c>
      <c r="W23" s="3">
        <f t="shared" si="29"/>
        <v>2460032.606727324</v>
      </c>
      <c r="X23" s="3">
        <f t="shared" si="30"/>
        <v>5.7704503896769985</v>
      </c>
      <c r="Y23" s="3">
        <f t="shared" si="31"/>
        <v>4.4779599724516865</v>
      </c>
      <c r="Z23" s="3">
        <f t="shared" si="32"/>
        <v>138.01338110243293</v>
      </c>
      <c r="AA23" s="3">
        <f t="shared" si="33"/>
        <v>188.65096866396601</v>
      </c>
      <c r="AB23" s="3">
        <f t="shared" si="34"/>
        <v>92.753815340562127</v>
      </c>
      <c r="AC23" s="3">
        <f t="shared" si="35"/>
        <v>269.71006156258971</v>
      </c>
      <c r="AD23" s="3">
        <f t="shared" si="36"/>
        <v>15.916958015934998</v>
      </c>
      <c r="AE23" s="3">
        <f t="shared" si="37"/>
        <v>39.335105554945905</v>
      </c>
      <c r="AF23" s="3">
        <f t="shared" si="38"/>
        <v>137.27557194599504</v>
      </c>
      <c r="AG23" s="3">
        <f t="shared" si="39"/>
        <v>4.2269072182655663</v>
      </c>
      <c r="AH23" s="3">
        <f t="shared" si="40"/>
        <v>14.331559405043262</v>
      </c>
      <c r="AI23" s="3">
        <f t="shared" si="41"/>
        <v>124.13898191010691</v>
      </c>
      <c r="AJ23" s="3">
        <f t="shared" si="42"/>
        <v>132.08996809305921</v>
      </c>
      <c r="AK23" s="3">
        <f t="shared" si="43"/>
        <v>23.79757823503688</v>
      </c>
    </row>
    <row r="24" spans="1:37">
      <c r="A24" s="3" t="s">
        <v>53</v>
      </c>
      <c r="B24" s="9" t="s">
        <v>54</v>
      </c>
      <c r="C24" s="35">
        <f t="shared" si="0"/>
        <v>45022.191547221038</v>
      </c>
      <c r="D24" s="18"/>
      <c r="E24" s="17"/>
      <c r="F24" s="3">
        <v>99</v>
      </c>
      <c r="G24" s="3" t="s">
        <v>50</v>
      </c>
      <c r="H24" s="12">
        <f t="shared" si="44"/>
        <v>3.5</v>
      </c>
      <c r="I24" s="12">
        <f t="shared" si="45"/>
        <v>287.5</v>
      </c>
      <c r="J24" s="3">
        <f t="shared" si="46"/>
        <v>0.2324497112773278</v>
      </c>
      <c r="K24" s="3">
        <f t="shared" si="1"/>
        <v>2460040.1420293287</v>
      </c>
      <c r="L24" s="3">
        <f t="shared" si="23"/>
        <v>146.09005267629712</v>
      </c>
      <c r="M24" s="3">
        <f t="shared" si="24"/>
        <v>1939.4785221186403</v>
      </c>
      <c r="N24" s="3">
        <f t="shared" si="25"/>
        <v>1963.1198179919036</v>
      </c>
      <c r="O24" s="3">
        <f t="shared" si="26"/>
        <v>-5.6689180849599179</v>
      </c>
      <c r="P24" s="3">
        <f t="shared" si="27"/>
        <v>0.99941475668320101</v>
      </c>
      <c r="Q24" s="3" t="s">
        <v>53</v>
      </c>
      <c r="T24" s="3">
        <f>-0.40614*SIN(M24)+0.17302*P24*SIN(L24)+0.01614*SIN(2*M24)+0.01043*SIN(2*N24)+0.00734*P24*SIN(M24-L24)-0.00515*P24*SIN(M24+L24)+0.00209*P24^2*SIN(2*L24)-0.00111*SIN(M24-2*N24)-0.00057*SIN(M24+2*N24)+0.00056*P24*SIN(2*M24+L24)-0.00042*SIN(3*M24)+0.00042*P24*SIN(L24+2*N24)+0.00038*P24*SIN(L24-2*N24)-0.00024*P24*SIN(2*M24-L24)-0.00017*SIN(O24)-0.00007*SIN(M24+2*L24)+0.00004*SIN(2*M24-2*N24)+0.00004*SIN(3*L24)+0.00003*SIN(M24+L24-2*N24)+0.00003*SIN(2*M24+2*N24)-0.00003*SIN(M24+L24+2*N24)+0.00003*SIN(M24-L24+2*N24)-0.00002*SIN(M24-L24-2*N24)-0.00002*SIN(3*M24+L24)+0.00002*SIN(4*M24)</f>
        <v>0.54997844122664208</v>
      </c>
      <c r="V24" s="3">
        <f t="shared" si="28"/>
        <v>-4.6054893206457306E-4</v>
      </c>
      <c r="W24" s="3">
        <f t="shared" si="29"/>
        <v>2460040.691547221</v>
      </c>
      <c r="X24" s="3">
        <f t="shared" si="30"/>
        <v>5.7709190304497433</v>
      </c>
      <c r="Y24" s="3">
        <f t="shared" si="31"/>
        <v>4.4780311862484909</v>
      </c>
      <c r="Z24" s="3">
        <f t="shared" si="32"/>
        <v>138.12967189307449</v>
      </c>
      <c r="AA24" s="3">
        <f t="shared" si="33"/>
        <v>188.80984807144353</v>
      </c>
      <c r="AB24" s="3">
        <f t="shared" si="34"/>
        <v>92.833255044300856</v>
      </c>
      <c r="AC24" s="3">
        <f t="shared" si="35"/>
        <v>269.94264313950947</v>
      </c>
      <c r="AD24" s="3">
        <f t="shared" si="36"/>
        <v>15.927664441525387</v>
      </c>
      <c r="AE24" s="3">
        <f t="shared" si="37"/>
        <v>39.366987746191477</v>
      </c>
      <c r="AF24" s="3">
        <f t="shared" si="38"/>
        <v>137.39452154067578</v>
      </c>
      <c r="AG24" s="3">
        <f t="shared" si="39"/>
        <v>4.227438775742554</v>
      </c>
      <c r="AH24" s="3">
        <f t="shared" si="40"/>
        <v>14.339607026594422</v>
      </c>
      <c r="AI24" s="3">
        <f t="shared" si="41"/>
        <v>124.24456627515806</v>
      </c>
      <c r="AJ24" s="3">
        <f t="shared" si="42"/>
        <v>132.20128998804356</v>
      </c>
      <c r="AK24" s="3">
        <f t="shared" si="43"/>
        <v>23.813253551921171</v>
      </c>
    </row>
    <row r="25" spans="1:37">
      <c r="A25" s="3" t="s">
        <v>55</v>
      </c>
      <c r="B25" s="9" t="s">
        <v>56</v>
      </c>
      <c r="C25" s="35">
        <f t="shared" si="0"/>
        <v>45029.383823685348</v>
      </c>
      <c r="D25" s="17"/>
      <c r="E25" s="17"/>
      <c r="F25" s="3">
        <v>50</v>
      </c>
      <c r="G25" s="3" t="s">
        <v>50</v>
      </c>
      <c r="H25" s="12">
        <f t="shared" si="44"/>
        <v>3.75</v>
      </c>
      <c r="I25" s="12">
        <f t="shared" si="45"/>
        <v>287.75</v>
      </c>
      <c r="J25" s="3">
        <f t="shared" si="46"/>
        <v>0.23265184146104723</v>
      </c>
      <c r="K25" s="3">
        <f t="shared" si="1"/>
        <v>2460047.5246766214</v>
      </c>
      <c r="L25" s="3">
        <f t="shared" si="23"/>
        <v>146.21704875231325</v>
      </c>
      <c r="M25" s="3">
        <f t="shared" si="24"/>
        <v>1941.1619660939232</v>
      </c>
      <c r="N25" s="3">
        <f t="shared" si="25"/>
        <v>1964.8244396300297</v>
      </c>
      <c r="O25" s="3">
        <f t="shared" si="26"/>
        <v>-5.6757412534154934</v>
      </c>
      <c r="P25" s="3">
        <f t="shared" si="27"/>
        <v>0.99941424742797691</v>
      </c>
      <c r="Q25" s="3" t="s">
        <v>55</v>
      </c>
      <c r="R25" s="3">
        <f>-(0.00306-0.00038*P25*COS(L25)+0.00026*COS(M25)-0.00002*COS(M25-L25)+0.00002*COS(M25+L25)+0.00002*COS(2*N25))</f>
        <v>-3.3508748771141294E-3</v>
      </c>
      <c r="U25" s="3">
        <f>-0.62801*SIN(M25)+0.17172*P25*SIN(L25)-0.01183*P25*SIN(M25+L25)+0.00862*SIN(2*M25)+0.00804*SIN(2*N25)+0.00454*P25*SIN(M25-L25)+0.00204*P25^2*SIN(2*L25)-0.0018*SIN(M25-2*N25)-0.0007*SIN(M25+2*N25)-0.0004*SIN(3*M25)-0.00034*P25*SIN(2*M25-L25)+0.00032*P25*SIN(L25+2*N25)+0.00032*P25*SIN(L25-2*N25)-0.00028*P25^2*SIN(M25+2*L25)+0.00027*P25*SIN(2*M25+L25)-0.00017*SIN(O25)-0.00005*SIN(M25-L25-2*N25)+0.00004*SIN(2*M25+2*N25)-0.00004*SIN(M25+L25+2*N25)+0.00004*SIN(M25-2*L25)+0.00003*SIN(M25+L25-2*N25)+0.00003*SIN(3*L25)+0.00002*SIN(2*M25-2*N25)+0.00002*SIN(M25-L25+2*N25)-0.00002*SIN(3*M25+L25)</f>
        <v>0.3628971798111853</v>
      </c>
      <c r="V25" s="3">
        <f t="shared" si="28"/>
        <v>-3.9924131486979186E-4</v>
      </c>
      <c r="W25" s="3">
        <f t="shared" si="29"/>
        <v>2460047.8838236853</v>
      </c>
      <c r="X25" s="3">
        <f t="shared" si="30"/>
        <v>5.771387671209407</v>
      </c>
      <c r="Y25" s="3">
        <f t="shared" si="31"/>
        <v>4.4781024000452954</v>
      </c>
      <c r="Z25" s="3">
        <f t="shared" si="32"/>
        <v>138.24596268371602</v>
      </c>
      <c r="AA25" s="3">
        <f t="shared" si="33"/>
        <v>188.96872747892101</v>
      </c>
      <c r="AB25" s="3">
        <f t="shared" si="34"/>
        <v>92.912694748039613</v>
      </c>
      <c r="AC25" s="3">
        <f t="shared" si="35"/>
        <v>270.17522471642923</v>
      </c>
      <c r="AD25" s="3">
        <f t="shared" si="36"/>
        <v>15.938370867115772</v>
      </c>
      <c r="AE25" s="3">
        <f t="shared" si="37"/>
        <v>39.398869937437041</v>
      </c>
      <c r="AF25" s="3">
        <f t="shared" si="38"/>
        <v>137.51347113535655</v>
      </c>
      <c r="AG25" s="3">
        <f t="shared" si="39"/>
        <v>4.2279703332195409</v>
      </c>
      <c r="AH25" s="3">
        <f t="shared" si="40"/>
        <v>14.347654648145582</v>
      </c>
      <c r="AI25" s="3">
        <f t="shared" si="41"/>
        <v>124.35015064020922</v>
      </c>
      <c r="AJ25" s="3">
        <f t="shared" si="42"/>
        <v>132.31261188302787</v>
      </c>
      <c r="AK25" s="3">
        <f t="shared" si="43"/>
        <v>23.828928868805466</v>
      </c>
    </row>
    <row r="26" spans="1:37">
      <c r="A26" s="3" t="s">
        <v>48</v>
      </c>
      <c r="B26" s="9" t="s">
        <v>49</v>
      </c>
      <c r="C26" s="35">
        <f t="shared" si="0"/>
        <v>45036.17621154245</v>
      </c>
      <c r="D26" s="16"/>
      <c r="E26" s="17"/>
      <c r="F26" s="3">
        <v>1</v>
      </c>
      <c r="G26" s="3">
        <f>C26-C22</f>
        <v>29.450965479947627</v>
      </c>
      <c r="H26" s="12">
        <f t="shared" si="44"/>
        <v>4</v>
      </c>
      <c r="I26" s="12">
        <f t="shared" si="45"/>
        <v>288</v>
      </c>
      <c r="J26" s="3">
        <f t="shared" si="46"/>
        <v>0.23285397164476665</v>
      </c>
      <c r="K26" s="3">
        <f t="shared" si="1"/>
        <v>2460054.9073239141</v>
      </c>
      <c r="L26" s="3">
        <f t="shared" si="23"/>
        <v>146.34404482832934</v>
      </c>
      <c r="M26" s="3">
        <f t="shared" si="24"/>
        <v>1942.8454100692215</v>
      </c>
      <c r="N26" s="3">
        <f t="shared" si="25"/>
        <v>1966.5290612681533</v>
      </c>
      <c r="O26" s="3">
        <f t="shared" si="26"/>
        <v>-5.6825644218681148</v>
      </c>
      <c r="P26" s="3">
        <f t="shared" si="27"/>
        <v>0.99941373817214818</v>
      </c>
      <c r="Q26" s="3" t="s">
        <v>48</v>
      </c>
      <c r="S26" s="3">
        <f>-0.4072*SIN(M26)+0.17241*P26*SIN(L26)+0.01608*SIN(2*M26)+0.01039*SIN(2*N26)+0.00739*P26*SIN(M26-L26)-0.00514*P26*SIN(M26+L26)+0.00208*P26^2*SIN(2*L26)-0.00111*SIN(M26-2*N26)-0.00057*SIN(M26+2*N26)+0.00056*P26*SIN(2*M26+L26)-0.00042*SIN(3*M26)+0.00042*P26*SIN(L26+2*N26)+0.00038*P26*SIN(L26-2*N26)-0.00024*P26*SIN(2*M26-L26)-0.00017*SIN(O26)-0.00007*SIN(M26+2*L26)+0.00004*SIN(2*M26-2*N26)+0.00004*SIN(3*L26)+0.00003*SIN(M26+L26-2*N26)+0.00003*SIN(2*M26+2*N26)-0.00003*SIN(M26+L26+2*N26)+0.00003*SIN(M26-L26+2*N26)-0.00002*SIN(M26-L26-2*N26)-0.00002*SIN(3*M26+L26)+0.00002*SIN(4*M26)</f>
        <v>-0.23077426468285733</v>
      </c>
      <c r="V26" s="3">
        <f t="shared" si="28"/>
        <v>-3.3810686584262716E-4</v>
      </c>
      <c r="W26" s="3">
        <f t="shared" si="29"/>
        <v>2460054.6762115424</v>
      </c>
      <c r="X26" s="3">
        <f t="shared" si="30"/>
        <v>5.7718563119559878</v>
      </c>
      <c r="Y26" s="3">
        <f t="shared" si="31"/>
        <v>4.4781736138420989</v>
      </c>
      <c r="Z26" s="3">
        <f t="shared" si="32"/>
        <v>138.36225347435757</v>
      </c>
      <c r="AA26" s="3">
        <f t="shared" si="33"/>
        <v>189.12760688639852</v>
      </c>
      <c r="AB26" s="3">
        <f t="shared" si="34"/>
        <v>92.992134451778369</v>
      </c>
      <c r="AC26" s="3">
        <f t="shared" si="35"/>
        <v>270.40780629334898</v>
      </c>
      <c r="AD26" s="3">
        <f t="shared" si="36"/>
        <v>15.949077292706157</v>
      </c>
      <c r="AE26" s="3">
        <f t="shared" si="37"/>
        <v>39.430752128682613</v>
      </c>
      <c r="AF26" s="3">
        <f t="shared" si="38"/>
        <v>137.63242073003735</v>
      </c>
      <c r="AG26" s="3">
        <f t="shared" si="39"/>
        <v>4.2285018906965277</v>
      </c>
      <c r="AH26" s="3">
        <f t="shared" si="40"/>
        <v>14.355702269696742</v>
      </c>
      <c r="AI26" s="3">
        <f t="shared" si="41"/>
        <v>124.45573500526037</v>
      </c>
      <c r="AJ26" s="3">
        <f t="shared" si="42"/>
        <v>132.42393377801218</v>
      </c>
      <c r="AK26" s="3">
        <f t="shared" si="43"/>
        <v>23.84460418568975</v>
      </c>
    </row>
    <row r="27" spans="1:37">
      <c r="A27" s="3" t="s">
        <v>51</v>
      </c>
      <c r="B27" s="9" t="s">
        <v>52</v>
      </c>
      <c r="C27" s="35">
        <f t="shared" si="0"/>
        <v>45043.889663559385</v>
      </c>
      <c r="D27" s="17"/>
      <c r="E27" s="17"/>
      <c r="F27" s="3">
        <v>50</v>
      </c>
      <c r="G27" s="3" t="s">
        <v>50</v>
      </c>
      <c r="H27" s="12">
        <f t="shared" si="44"/>
        <v>4.25</v>
      </c>
      <c r="I27" s="12">
        <f t="shared" si="45"/>
        <v>288.25</v>
      </c>
      <c r="J27" s="3">
        <f t="shared" si="46"/>
        <v>0.23305610182848607</v>
      </c>
      <c r="K27" s="3">
        <f t="shared" si="1"/>
        <v>2460062.2899712068</v>
      </c>
      <c r="L27" s="3">
        <f t="shared" si="23"/>
        <v>146.47104090434547</v>
      </c>
      <c r="M27" s="3">
        <f t="shared" si="24"/>
        <v>1944.5288540445349</v>
      </c>
      <c r="N27" s="3">
        <f t="shared" si="25"/>
        <v>1968.2336829062749</v>
      </c>
      <c r="O27" s="3">
        <f t="shared" si="26"/>
        <v>-5.6893875903177822</v>
      </c>
      <c r="P27" s="3">
        <f t="shared" si="27"/>
        <v>0.99941322891571471</v>
      </c>
      <c r="Q27" s="3" t="s">
        <v>51</v>
      </c>
      <c r="R27" s="3">
        <f>0.00306-0.00038*P27*COS(L27)+0.00026*COS(M27)-0.00002*COS(M27-L27)+0.00002*COS(M27+L27)+0.00002*COS(2*N27)</f>
        <v>2.9208065539845771E-3</v>
      </c>
      <c r="U27" s="3">
        <f>-0.62801*SIN(M27)+0.17172*P27*SIN(L27)-0.01183*P27*SIN(M27+L27)+0.00862*SIN(2*M27)+0.00804*SIN(2*N27)+0.00454*P27*SIN(M27-L27)+0.00204*P27^2*SIN(2*L27)-0.0018*SIN(M27-2*N27)-0.0007*SIN(M27+2*N27)-0.0004*SIN(3*M27)-0.00034*P27*SIN(2*M27-L27)+0.00032*P27*SIN(L27+2*N27)+0.00032*P27*SIN(L27-2*N27)-0.00028*P27^2*SIN(M27+2*L27)+0.00027*P27*SIN(2*M27+L27)-0.00017*SIN(O27)-0.00005*SIN(M27-L27-2*N27)+0.00004*SIN(2*M27+2*N27)-0.00004*SIN(M27+L27+2*N27)+0.00004*SIN(M27-2*L27)+0.00003*SIN(M27+L27-2*N27)+0.00003*SIN(3*L27)+0.00002*SIN(2*M27-2*N27)+0.00002*SIN(M27-L27+2*N27)-0.00002*SIN(3*M27+L27)</f>
        <v>9.7050281077975753E-2</v>
      </c>
      <c r="V27" s="3">
        <f t="shared" si="28"/>
        <v>-2.7873527569939426E-4</v>
      </c>
      <c r="W27" s="3">
        <f t="shared" si="29"/>
        <v>2460062.3896635594</v>
      </c>
      <c r="X27" s="3">
        <f t="shared" si="30"/>
        <v>5.7723249526894875</v>
      </c>
      <c r="Y27" s="3">
        <f t="shared" si="31"/>
        <v>4.4782448276389042</v>
      </c>
      <c r="Z27" s="3">
        <f t="shared" si="32"/>
        <v>138.4785442649991</v>
      </c>
      <c r="AA27" s="3">
        <f t="shared" si="33"/>
        <v>189.28648629387604</v>
      </c>
      <c r="AB27" s="3">
        <f t="shared" si="34"/>
        <v>93.071574155517112</v>
      </c>
      <c r="AC27" s="3">
        <f t="shared" si="35"/>
        <v>270.64038787026874</v>
      </c>
      <c r="AD27" s="3">
        <f t="shared" si="36"/>
        <v>15.959783718296542</v>
      </c>
      <c r="AE27" s="3">
        <f t="shared" si="37"/>
        <v>39.462634319928185</v>
      </c>
      <c r="AF27" s="3">
        <f t="shared" si="38"/>
        <v>137.75137032471812</v>
      </c>
      <c r="AG27" s="3">
        <f t="shared" si="39"/>
        <v>4.2290334481735155</v>
      </c>
      <c r="AH27" s="3">
        <f t="shared" si="40"/>
        <v>14.363749891247902</v>
      </c>
      <c r="AI27" s="3">
        <f t="shared" si="41"/>
        <v>124.56131937031154</v>
      </c>
      <c r="AJ27" s="3">
        <f t="shared" si="42"/>
        <v>132.5352556729965</v>
      </c>
      <c r="AK27" s="3">
        <f t="shared" si="43"/>
        <v>23.860279502574045</v>
      </c>
    </row>
    <row r="28" spans="1:37">
      <c r="A28" s="3" t="s">
        <v>53</v>
      </c>
      <c r="B28" s="9" t="s">
        <v>54</v>
      </c>
      <c r="C28" s="35">
        <f t="shared" si="0"/>
        <v>45051.732847535983</v>
      </c>
      <c r="D28" s="18"/>
      <c r="E28" s="17"/>
      <c r="F28" s="3">
        <v>99</v>
      </c>
      <c r="G28" s="3" t="s">
        <v>50</v>
      </c>
      <c r="H28" s="12">
        <f t="shared" si="44"/>
        <v>4.5</v>
      </c>
      <c r="I28" s="12">
        <f t="shared" si="45"/>
        <v>288.5</v>
      </c>
      <c r="J28" s="3">
        <f t="shared" si="46"/>
        <v>0.23325823201220547</v>
      </c>
      <c r="K28" s="3">
        <f t="shared" si="1"/>
        <v>2460069.6726184995</v>
      </c>
      <c r="L28" s="3">
        <f t="shared" si="23"/>
        <v>146.59803698036151</v>
      </c>
      <c r="M28" s="3">
        <f t="shared" si="24"/>
        <v>1946.2122980198635</v>
      </c>
      <c r="N28" s="3">
        <f t="shared" si="25"/>
        <v>1969.9383045443938</v>
      </c>
      <c r="O28" s="3">
        <f t="shared" si="26"/>
        <v>-5.6962107587644972</v>
      </c>
      <c r="P28" s="3">
        <f t="shared" si="27"/>
        <v>0.99941271965867662</v>
      </c>
      <c r="Q28" s="3" t="s">
        <v>53</v>
      </c>
      <c r="T28" s="3">
        <f>-0.40614*SIN(M28)+0.17302*P28*SIN(L28)+0.01614*SIN(2*M28)+0.01043*SIN(2*N28)+0.00734*P28*SIN(M28-L28)-0.00515*P28*SIN(M28+L28)+0.00209*P28^2*SIN(2*L28)-0.00111*SIN(M28-2*N28)-0.00057*SIN(M28+2*N28)+0.00056*P28*SIN(2*M28+L28)-0.00042*SIN(3*M28)+0.00042*P28*SIN(L28+2*N28)+0.00038*P28*SIN(L28-2*N28)-0.00024*P28*SIN(2*M28-L28)-0.00017*SIN(O28)-0.00007*SIN(M28+2*L28)+0.00004*SIN(2*M28-2*N28)+0.00004*SIN(3*L28)+0.00003*SIN(M28+L28-2*N28)+0.00003*SIN(2*M28+2*N28)-0.00003*SIN(M28+L28+2*N28)+0.00003*SIN(M28-L28+2*N28)-0.00002*SIN(M28-L28-2*N28)-0.00002*SIN(3*M28+L28)+0.00002*SIN(4*M28)</f>
        <v>0.56045167162172083</v>
      </c>
      <c r="V28" s="3">
        <f t="shared" si="28"/>
        <v>-2.2263513665297805E-4</v>
      </c>
      <c r="W28" s="3">
        <f t="shared" si="29"/>
        <v>2460070.232847536</v>
      </c>
      <c r="X28" s="3">
        <f t="shared" si="30"/>
        <v>5.7727935934099053</v>
      </c>
      <c r="Y28" s="3">
        <f t="shared" si="31"/>
        <v>4.4783160414357095</v>
      </c>
      <c r="Z28" s="3">
        <f t="shared" si="32"/>
        <v>138.59483505564069</v>
      </c>
      <c r="AA28" s="3">
        <f t="shared" si="33"/>
        <v>189.44536570135352</v>
      </c>
      <c r="AB28" s="3">
        <f t="shared" si="34"/>
        <v>93.151013859255869</v>
      </c>
      <c r="AC28" s="3">
        <f t="shared" si="35"/>
        <v>270.87296944718855</v>
      </c>
      <c r="AD28" s="3">
        <f t="shared" si="36"/>
        <v>15.970490143886932</v>
      </c>
      <c r="AE28" s="3">
        <f t="shared" si="37"/>
        <v>39.494516511173742</v>
      </c>
      <c r="AF28" s="3">
        <f t="shared" si="38"/>
        <v>137.8703199193989</v>
      </c>
      <c r="AG28" s="3">
        <f t="shared" si="39"/>
        <v>4.2295650056505032</v>
      </c>
      <c r="AH28" s="3">
        <f t="shared" si="40"/>
        <v>14.371797512799061</v>
      </c>
      <c r="AI28" s="3">
        <f t="shared" si="41"/>
        <v>124.66690373536269</v>
      </c>
      <c r="AJ28" s="3">
        <f t="shared" si="42"/>
        <v>132.64657756798081</v>
      </c>
      <c r="AK28" s="3">
        <f t="shared" si="43"/>
        <v>23.875954819458329</v>
      </c>
    </row>
    <row r="29" spans="1:37">
      <c r="A29" s="3" t="s">
        <v>55</v>
      </c>
      <c r="B29" s="9" t="s">
        <v>56</v>
      </c>
      <c r="C29" s="35">
        <f t="shared" si="0"/>
        <v>45058.603850926738</v>
      </c>
      <c r="D29" s="17"/>
      <c r="E29" s="17"/>
      <c r="F29" s="3">
        <v>50</v>
      </c>
      <c r="G29" s="3" t="s">
        <v>50</v>
      </c>
      <c r="H29" s="12">
        <f t="shared" si="44"/>
        <v>4.75</v>
      </c>
      <c r="I29" s="12">
        <f t="shared" si="45"/>
        <v>288.75</v>
      </c>
      <c r="J29" s="3">
        <f t="shared" si="46"/>
        <v>0.23346036219592489</v>
      </c>
      <c r="K29" s="3">
        <f t="shared" si="1"/>
        <v>2460077.0552657922</v>
      </c>
      <c r="L29" s="3">
        <f t="shared" si="23"/>
        <v>146.72503305637747</v>
      </c>
      <c r="M29" s="3">
        <f t="shared" si="24"/>
        <v>1947.8957419952078</v>
      </c>
      <c r="N29" s="3">
        <f t="shared" si="25"/>
        <v>1971.6429261825108</v>
      </c>
      <c r="O29" s="3">
        <f t="shared" si="26"/>
        <v>-5.7030339272082609</v>
      </c>
      <c r="P29" s="3">
        <f t="shared" si="27"/>
        <v>0.99941221040103378</v>
      </c>
      <c r="Q29" s="3" t="s">
        <v>55</v>
      </c>
      <c r="R29" s="3">
        <f>-(0.00306-0.00038*P29*COS(L29)+0.00026*COS(M29)-0.00002*COS(M29-L29)+0.00002*COS(M29+L29)+0.00002*COS(2*N29))</f>
        <v>-3.5254579038955175E-3</v>
      </c>
      <c r="U29" s="3">
        <f>-0.62801*SIN(M29)+0.17172*P29*SIN(L29)-0.01183*P29*SIN(M29+L29)+0.00862*SIN(2*M29)+0.00804*SIN(2*N29)+0.00454*P29*SIN(M29-L29)+0.00204*P29^2*SIN(2*L29)-0.0018*SIN(M29-2*N29)-0.0007*SIN(M29+2*N29)-0.0004*SIN(3*M29)-0.00034*P29*SIN(2*M29-L29)+0.00032*P29*SIN(L29+2*N29)+0.00032*P29*SIN(L29-2*N29)-0.00028*P29^2*SIN(M29+2*L29)+0.00027*P29*SIN(2*M29+L29)-0.00017*SIN(O29)-0.00005*SIN(M29-L29-2*N29)+0.00004*SIN(2*M29+2*N29)-0.00004*SIN(M29+L29+2*N29)+0.00004*SIN(M29-2*L29)+0.00003*SIN(M29+L29-2*N29)+0.00003*SIN(3*L29)+0.00002*SIN(2*M29-2*N29)+0.00002*SIN(M29-L29+2*N29)-0.00002*SIN(3*M29+L29)</f>
        <v>5.2281772372139226E-2</v>
      </c>
      <c r="V29" s="3">
        <f t="shared" si="28"/>
        <v>-1.7117989427937406E-4</v>
      </c>
      <c r="W29" s="3">
        <f t="shared" si="29"/>
        <v>2460077.1038509267</v>
      </c>
      <c r="X29" s="3">
        <f t="shared" si="30"/>
        <v>5.7732622341172384</v>
      </c>
      <c r="Y29" s="3">
        <f t="shared" si="31"/>
        <v>4.478387255232513</v>
      </c>
      <c r="Z29" s="3">
        <f t="shared" si="32"/>
        <v>138.71112584628221</v>
      </c>
      <c r="AA29" s="3">
        <f t="shared" si="33"/>
        <v>189.60424510883104</v>
      </c>
      <c r="AB29" s="3">
        <f t="shared" si="34"/>
        <v>93.230453562994612</v>
      </c>
      <c r="AC29" s="3">
        <f t="shared" si="35"/>
        <v>271.10555102410831</v>
      </c>
      <c r="AD29" s="3">
        <f t="shared" si="36"/>
        <v>15.981196569477317</v>
      </c>
      <c r="AE29" s="3">
        <f t="shared" si="37"/>
        <v>39.526398702419314</v>
      </c>
      <c r="AF29" s="3">
        <f t="shared" si="38"/>
        <v>137.98926951407964</v>
      </c>
      <c r="AG29" s="3">
        <f t="shared" si="39"/>
        <v>4.2300965631274901</v>
      </c>
      <c r="AH29" s="3">
        <f t="shared" si="40"/>
        <v>14.379845134350221</v>
      </c>
      <c r="AI29" s="3">
        <f t="shared" si="41"/>
        <v>124.77248810041385</v>
      </c>
      <c r="AJ29" s="3">
        <f t="shared" si="42"/>
        <v>132.75789946296513</v>
      </c>
      <c r="AK29" s="3">
        <f t="shared" si="43"/>
        <v>23.891630136342624</v>
      </c>
    </row>
    <row r="30" spans="1:37">
      <c r="A30" s="3" t="s">
        <v>48</v>
      </c>
      <c r="B30" s="9" t="s">
        <v>49</v>
      </c>
      <c r="C30" s="35">
        <f t="shared" si="0"/>
        <v>45065.662822291255</v>
      </c>
      <c r="D30" s="16"/>
      <c r="E30" s="17"/>
      <c r="F30" s="3">
        <v>1</v>
      </c>
      <c r="G30" s="3">
        <f>C30-C26</f>
        <v>29.486610748805106</v>
      </c>
      <c r="H30" s="12">
        <f t="shared" si="44"/>
        <v>5</v>
      </c>
      <c r="I30" s="12">
        <f t="shared" si="45"/>
        <v>289</v>
      </c>
      <c r="J30" s="3">
        <f t="shared" si="46"/>
        <v>0.23366249237964432</v>
      </c>
      <c r="K30" s="3">
        <f t="shared" si="1"/>
        <v>2460084.4379130849</v>
      </c>
      <c r="L30" s="3">
        <f t="shared" si="23"/>
        <v>146.85202913239345</v>
      </c>
      <c r="M30" s="3">
        <f t="shared" si="24"/>
        <v>1949.5791859705673</v>
      </c>
      <c r="N30" s="3">
        <f t="shared" si="25"/>
        <v>1973.3475478206253</v>
      </c>
      <c r="O30" s="3">
        <f t="shared" si="26"/>
        <v>-5.7098570956490686</v>
      </c>
      <c r="P30" s="3">
        <f t="shared" si="27"/>
        <v>0.99941170114278621</v>
      </c>
      <c r="Q30" s="3" t="s">
        <v>48</v>
      </c>
      <c r="S30" s="3">
        <f>-0.4072*SIN(M30)+0.17241*P30*SIN(L30)+0.01608*SIN(2*M30)+0.01039*SIN(2*N30)+0.00739*P30*SIN(M30-L30)-0.00514*P30*SIN(M30+L30)+0.00208*P30^2*SIN(2*L30)-0.00111*SIN(M30-2*N30)-0.00057*SIN(M30+2*N30)+0.00056*P30*SIN(2*M30+L30)-0.00042*SIN(3*M30)+0.00042*P30*SIN(L30+2*N30)+0.00038*P30*SIN(L30-2*N30)-0.00024*P30*SIN(2*M30-L30)-0.00017*SIN(O30)-0.00007*SIN(M30+2*L30)+0.00004*SIN(2*M30-2*N30)+0.00004*SIN(3*L30)+0.00003*SIN(M30+L30-2*N30)+0.00003*SIN(2*M30+2*N30)-0.00003*SIN(M30+L30+2*N30)+0.00003*SIN(M30-L30+2*N30)-0.00002*SIN(M30-L30-2*N30)-0.00002*SIN(3*M30+L30)+0.00002*SIN(4*M30)</f>
        <v>-0.27496523409726209</v>
      </c>
      <c r="V30" s="3">
        <f t="shared" si="28"/>
        <v>-1.2555956336584388E-4</v>
      </c>
      <c r="W30" s="3">
        <f t="shared" si="29"/>
        <v>2460084.1628222913</v>
      </c>
      <c r="X30" s="3">
        <f t="shared" si="30"/>
        <v>5.7737308748114922</v>
      </c>
      <c r="Y30" s="3">
        <f t="shared" si="31"/>
        <v>4.4784584690293174</v>
      </c>
      <c r="Z30" s="3">
        <f t="shared" si="32"/>
        <v>138.82741663692374</v>
      </c>
      <c r="AA30" s="3">
        <f t="shared" si="33"/>
        <v>189.76312451630855</v>
      </c>
      <c r="AB30" s="3">
        <f t="shared" si="34"/>
        <v>93.309893266733383</v>
      </c>
      <c r="AC30" s="3">
        <f t="shared" si="35"/>
        <v>271.33813260102812</v>
      </c>
      <c r="AD30" s="3">
        <f t="shared" si="36"/>
        <v>15.991902995067704</v>
      </c>
      <c r="AE30" s="3">
        <f t="shared" si="37"/>
        <v>39.558280893664886</v>
      </c>
      <c r="AF30" s="3">
        <f t="shared" si="38"/>
        <v>138.10821910876044</v>
      </c>
      <c r="AG30" s="3">
        <f t="shared" si="39"/>
        <v>4.2306281206044778</v>
      </c>
      <c r="AH30" s="3">
        <f t="shared" si="40"/>
        <v>14.387892755901381</v>
      </c>
      <c r="AI30" s="3">
        <f t="shared" si="41"/>
        <v>124.87807246546502</v>
      </c>
      <c r="AJ30" s="3">
        <f t="shared" si="42"/>
        <v>132.86922135794944</v>
      </c>
      <c r="AK30" s="3">
        <f t="shared" si="43"/>
        <v>23.907305453226915</v>
      </c>
    </row>
    <row r="31" spans="1:37">
      <c r="A31" s="3" t="s">
        <v>51</v>
      </c>
      <c r="B31" s="9" t="s">
        <v>52</v>
      </c>
      <c r="C31" s="35">
        <f t="shared" si="0"/>
        <v>45073.641217778903</v>
      </c>
      <c r="D31" s="17"/>
      <c r="E31" s="17"/>
      <c r="F31" s="3">
        <v>50</v>
      </c>
      <c r="G31" s="3" t="s">
        <v>50</v>
      </c>
      <c r="H31" s="12">
        <f t="shared" si="44"/>
        <v>5.25</v>
      </c>
      <c r="I31" s="12">
        <f t="shared" si="45"/>
        <v>289.25</v>
      </c>
      <c r="J31" s="3">
        <f t="shared" si="46"/>
        <v>0.23386462256336371</v>
      </c>
      <c r="K31" s="3">
        <f t="shared" si="1"/>
        <v>2460091.8205603776</v>
      </c>
      <c r="L31" s="3">
        <f t="shared" si="23"/>
        <v>146.97902520840941</v>
      </c>
      <c r="M31" s="3">
        <f t="shared" si="24"/>
        <v>1951.2626299459423</v>
      </c>
      <c r="N31" s="3">
        <f t="shared" si="25"/>
        <v>1975.0521694587376</v>
      </c>
      <c r="O31" s="3">
        <f t="shared" si="26"/>
        <v>-5.7166802640869268</v>
      </c>
      <c r="P31" s="3">
        <f t="shared" si="27"/>
        <v>0.99941119188393401</v>
      </c>
      <c r="Q31" s="3" t="s">
        <v>51</v>
      </c>
      <c r="R31" s="3">
        <f>0.00306-0.00038*P31*COS(L31)+0.00026*COS(M31)-0.00002*COS(M31-L31)+0.00002*COS(M31+L31)+0.00002*COS(2*N31)</f>
        <v>3.1101524254829372E-3</v>
      </c>
      <c r="U31" s="3">
        <f>-0.62801*SIN(M31)+0.17172*P31*SIN(L31)-0.01183*P31*SIN(M31+L31)+0.00862*SIN(2*M31)+0.00804*SIN(2*N31)+0.00454*P31*SIN(M31-L31)+0.00204*P31^2*SIN(2*L31)-0.0018*SIN(M31-2*N31)-0.0007*SIN(M31+2*N31)-0.0004*SIN(3*M31)-0.00034*P31*SIN(2*M31-L31)+0.00032*P31*SIN(L31+2*N31)+0.00032*P31*SIN(L31-2*N31)-0.00028*P31^2*SIN(M31+2*L31)+0.00027*P31*SIN(2*M31+L31)-0.00017*SIN(O31)-0.00005*SIN(M31-L31-2*N31)+0.00004*SIN(2*M31+2*N31)-0.00004*SIN(M31+L31+2*N31)+0.00004*SIN(M31-2*L31)+0.00003*SIN(M31+L31-2*N31)+0.00003*SIN(3*L31)+0.00002*SIN(2*M31-2*N31)+0.00002*SIN(M31-L31+2*N31)-0.00002*SIN(3*M31+L31)</f>
        <v>0.31763398958845546</v>
      </c>
      <c r="V31" s="3">
        <f t="shared" si="28"/>
        <v>-8.674036218821006E-5</v>
      </c>
      <c r="W31" s="3">
        <f t="shared" si="29"/>
        <v>2460092.1412177789</v>
      </c>
      <c r="X31" s="3">
        <f t="shared" si="30"/>
        <v>5.7741995154926622</v>
      </c>
      <c r="Y31" s="3">
        <f t="shared" si="31"/>
        <v>4.4785296828261218</v>
      </c>
      <c r="Z31" s="3">
        <f t="shared" si="32"/>
        <v>138.9437074275653</v>
      </c>
      <c r="AA31" s="3">
        <f t="shared" si="33"/>
        <v>189.92200392378601</v>
      </c>
      <c r="AB31" s="3">
        <f t="shared" si="34"/>
        <v>93.389332970472125</v>
      </c>
      <c r="AC31" s="3">
        <f t="shared" si="35"/>
        <v>271.57071417794782</v>
      </c>
      <c r="AD31" s="3">
        <f t="shared" si="36"/>
        <v>16.002609420658093</v>
      </c>
      <c r="AE31" s="3">
        <f t="shared" si="37"/>
        <v>39.590163084910451</v>
      </c>
      <c r="AF31" s="3">
        <f t="shared" si="38"/>
        <v>138.22716870344121</v>
      </c>
      <c r="AG31" s="3">
        <f t="shared" si="39"/>
        <v>4.2311596780814646</v>
      </c>
      <c r="AH31" s="3">
        <f t="shared" si="40"/>
        <v>14.395940377452543</v>
      </c>
      <c r="AI31" s="3">
        <f t="shared" si="41"/>
        <v>124.98365683051615</v>
      </c>
      <c r="AJ31" s="3">
        <f t="shared" si="42"/>
        <v>132.98054325293376</v>
      </c>
      <c r="AK31" s="3">
        <f t="shared" si="43"/>
        <v>23.922980770111206</v>
      </c>
    </row>
    <row r="32" spans="1:37">
      <c r="A32" s="3" t="s">
        <v>53</v>
      </c>
      <c r="B32" s="9" t="s">
        <v>54</v>
      </c>
      <c r="C32" s="35">
        <f t="shared" si="0"/>
        <v>45081.154826465528</v>
      </c>
      <c r="D32" s="18"/>
      <c r="E32" s="17"/>
      <c r="F32" s="3">
        <v>99</v>
      </c>
      <c r="G32" s="3" t="s">
        <v>50</v>
      </c>
      <c r="H32" s="12">
        <f t="shared" si="44"/>
        <v>5.5</v>
      </c>
      <c r="I32" s="12">
        <f t="shared" si="45"/>
        <v>289.5</v>
      </c>
      <c r="J32" s="3">
        <f t="shared" si="46"/>
        <v>0.23406675274708313</v>
      </c>
      <c r="K32" s="3">
        <f t="shared" si="1"/>
        <v>2460099.2032076702</v>
      </c>
      <c r="L32" s="3">
        <f t="shared" si="23"/>
        <v>147.10602128442537</v>
      </c>
      <c r="M32" s="3">
        <f t="shared" si="24"/>
        <v>1952.9460739213323</v>
      </c>
      <c r="N32" s="3">
        <f t="shared" si="25"/>
        <v>1976.7567910968476</v>
      </c>
      <c r="O32" s="3">
        <f t="shared" si="26"/>
        <v>-5.723503432521829</v>
      </c>
      <c r="P32" s="3">
        <f t="shared" si="27"/>
        <v>0.9994106826244773</v>
      </c>
      <c r="Q32" s="3" t="s">
        <v>53</v>
      </c>
      <c r="T32" s="3">
        <f>-0.40614*SIN(M32)+0.17302*P32*SIN(L32)+0.01614*SIN(2*M32)+0.01043*SIN(2*N32)+0.00734*P32*SIN(M32-L32)-0.00515*P32*SIN(M32+L32)+0.00209*P32^2*SIN(2*L32)-0.00111*SIN(M32-2*N32)-0.00057*SIN(M32+2*N32)+0.00056*P32*SIN(2*M32+L32)-0.00042*SIN(3*M32)+0.00042*P32*SIN(L32+2*N32)+0.00038*P32*SIN(L32-2*N32)-0.00024*P32*SIN(2*M32-L32)-0.00017*SIN(O32)-0.00007*SIN(M32+2*L32)+0.00004*SIN(2*M32-2*N32)+0.00004*SIN(3*L32)+0.00003*SIN(M32+L32-2*N32)+0.00003*SIN(2*M32+2*N32)-0.00003*SIN(M32+L32+2*N32)+0.00003*SIN(M32-L32+2*N32)-0.00002*SIN(M32-L32-2*N32)-0.00002*SIN(3*M32+L32)+0.00002*SIN(4*M32)</f>
        <v>0.45167422952827541</v>
      </c>
      <c r="V32" s="3">
        <f t="shared" si="28"/>
        <v>-5.5434042932752986E-5</v>
      </c>
      <c r="W32" s="3">
        <f t="shared" si="29"/>
        <v>2460099.6548264655</v>
      </c>
      <c r="X32" s="3">
        <f t="shared" si="30"/>
        <v>5.7746681561607485</v>
      </c>
      <c r="Y32" s="3">
        <f t="shared" si="31"/>
        <v>4.4786008966229263</v>
      </c>
      <c r="Z32" s="3">
        <f t="shared" si="32"/>
        <v>139.05999821820686</v>
      </c>
      <c r="AA32" s="3">
        <f t="shared" si="33"/>
        <v>190.08088333126352</v>
      </c>
      <c r="AB32" s="3">
        <f t="shared" si="34"/>
        <v>93.468772674210854</v>
      </c>
      <c r="AC32" s="3">
        <f t="shared" si="35"/>
        <v>271.80329575486763</v>
      </c>
      <c r="AD32" s="3">
        <f t="shared" si="36"/>
        <v>16.013315846248478</v>
      </c>
      <c r="AE32" s="3">
        <f t="shared" si="37"/>
        <v>39.622045276156022</v>
      </c>
      <c r="AF32" s="3">
        <f t="shared" si="38"/>
        <v>138.34611829812195</v>
      </c>
      <c r="AG32" s="3">
        <f t="shared" si="39"/>
        <v>4.2316912355584524</v>
      </c>
      <c r="AH32" s="3">
        <f t="shared" si="40"/>
        <v>14.403987999003704</v>
      </c>
      <c r="AI32" s="3">
        <f t="shared" si="41"/>
        <v>125.08924119556733</v>
      </c>
      <c r="AJ32" s="3">
        <f t="shared" si="42"/>
        <v>133.0918651479181</v>
      </c>
      <c r="AK32" s="3">
        <f t="shared" si="43"/>
        <v>23.938656086995501</v>
      </c>
    </row>
    <row r="33" spans="1:37">
      <c r="A33" s="3" t="s">
        <v>55</v>
      </c>
      <c r="B33" s="9" t="s">
        <v>56</v>
      </c>
      <c r="C33" s="35">
        <f t="shared" si="0"/>
        <v>45087.814327563159</v>
      </c>
      <c r="D33" s="17"/>
      <c r="E33" s="17"/>
      <c r="F33" s="3">
        <v>50</v>
      </c>
      <c r="G33" s="3" t="s">
        <v>50</v>
      </c>
      <c r="H33" s="12">
        <f t="shared" si="44"/>
        <v>5.75</v>
      </c>
      <c r="I33" s="12">
        <f t="shared" si="45"/>
        <v>289.75</v>
      </c>
      <c r="J33" s="3">
        <f t="shared" si="46"/>
        <v>0.23426888293080256</v>
      </c>
      <c r="K33" s="3">
        <f t="shared" si="1"/>
        <v>2460106.5858549634</v>
      </c>
      <c r="L33" s="3">
        <f t="shared" si="23"/>
        <v>147.23301736044118</v>
      </c>
      <c r="M33" s="3">
        <f t="shared" si="24"/>
        <v>1954.629517896738</v>
      </c>
      <c r="N33" s="3">
        <f t="shared" si="25"/>
        <v>1978.4614127349546</v>
      </c>
      <c r="O33" s="3">
        <f t="shared" si="26"/>
        <v>-5.730326600953779</v>
      </c>
      <c r="P33" s="3">
        <f t="shared" si="27"/>
        <v>0.99941017336441573</v>
      </c>
      <c r="Q33" s="3" t="s">
        <v>55</v>
      </c>
      <c r="R33" s="3">
        <f>-(0.00306-0.00038*P33*COS(L33)+0.00026*COS(M33)-0.00002*COS(M33-L33)+0.00002*COS(M33+L33)+0.00002*COS(2*N33))</f>
        <v>-3.6199752099281735E-3</v>
      </c>
      <c r="U33" s="3">
        <f>-0.62801*SIN(M33)+0.17172*P33*SIN(L33)-0.01183*P33*SIN(M33+L33)+0.00862*SIN(2*M33)+0.00804*SIN(2*N33)+0.00454*P33*SIN(M33-L33)+0.00204*P33^2*SIN(2*L33)-0.0018*SIN(M33-2*N33)-0.0007*SIN(M33+2*N33)-0.0004*SIN(3*M33)-0.00034*P33*SIN(2*M33-L33)+0.00032*P33*SIN(L33+2*N33)+0.00032*P33*SIN(L33-2*N33)-0.00028*P33^2*SIN(M33+2*L33)+0.00027*P33*SIN(2*M33+L33)-0.00017*SIN(O33)-0.00005*SIN(M33-L33-2*N33)+0.00004*SIN(2*M33+2*N33)-0.00004*SIN(M33+L33+2*N33)+0.00004*SIN(M33-2*L33)+0.00003*SIN(M33+L33-2*N33)+0.00003*SIN(3*L33)+0.00002*SIN(2*M33-2*N33)+0.00002*SIN(M33-L33+2*N33)-0.00002*SIN(3*M33+L33)</f>
        <v>-0.26787534700795401</v>
      </c>
      <c r="V33" s="3">
        <f t="shared" si="28"/>
        <v>-3.207823097412363E-5</v>
      </c>
      <c r="W33" s="3">
        <f t="shared" si="29"/>
        <v>2460106.3143275632</v>
      </c>
      <c r="X33" s="3">
        <f t="shared" si="30"/>
        <v>5.7751367968157563</v>
      </c>
      <c r="Y33" s="3">
        <f t="shared" si="31"/>
        <v>4.4786721104197307</v>
      </c>
      <c r="Z33" s="3">
        <f t="shared" si="32"/>
        <v>139.17628900884839</v>
      </c>
      <c r="AA33" s="3">
        <f t="shared" si="33"/>
        <v>190.23976273874101</v>
      </c>
      <c r="AB33" s="3">
        <f t="shared" si="34"/>
        <v>93.548212377949611</v>
      </c>
      <c r="AC33" s="3">
        <f t="shared" si="35"/>
        <v>272.03587733178733</v>
      </c>
      <c r="AD33" s="3">
        <f t="shared" si="36"/>
        <v>16.024022271838863</v>
      </c>
      <c r="AE33" s="3">
        <f t="shared" si="37"/>
        <v>39.653927467401594</v>
      </c>
      <c r="AF33" s="3">
        <f t="shared" si="38"/>
        <v>138.46506789280272</v>
      </c>
      <c r="AG33" s="3">
        <f t="shared" si="39"/>
        <v>4.2322227930354392</v>
      </c>
      <c r="AH33" s="3">
        <f t="shared" si="40"/>
        <v>14.412035620554864</v>
      </c>
      <c r="AI33" s="3">
        <f t="shared" si="41"/>
        <v>125.19482556061848</v>
      </c>
      <c r="AJ33" s="3">
        <f t="shared" si="42"/>
        <v>133.20318704290241</v>
      </c>
      <c r="AK33" s="3">
        <f t="shared" si="43"/>
        <v>23.954331403879785</v>
      </c>
    </row>
    <row r="34" spans="1:37">
      <c r="A34" s="3" t="s">
        <v>48</v>
      </c>
      <c r="B34" s="9" t="s">
        <v>49</v>
      </c>
      <c r="C34" s="35">
        <f t="shared" si="0"/>
        <v>45095.193296387326</v>
      </c>
      <c r="D34" s="16"/>
      <c r="E34" s="17"/>
      <c r="F34" s="3">
        <v>1</v>
      </c>
      <c r="G34" s="3">
        <f>C34-C30</f>
        <v>29.530474096070975</v>
      </c>
      <c r="H34" s="12">
        <f t="shared" si="44"/>
        <v>6</v>
      </c>
      <c r="I34" s="12">
        <f t="shared" si="45"/>
        <v>290</v>
      </c>
      <c r="J34" s="3">
        <f t="shared" si="46"/>
        <v>0.23447101311452198</v>
      </c>
      <c r="K34" s="3">
        <f t="shared" si="1"/>
        <v>2460113.9685022561</v>
      </c>
      <c r="L34" s="3">
        <f t="shared" si="23"/>
        <v>147.36001343645705</v>
      </c>
      <c r="M34" s="3">
        <f t="shared" si="24"/>
        <v>1956.3129618721584</v>
      </c>
      <c r="N34" s="3">
        <f t="shared" si="25"/>
        <v>1980.1660343730596</v>
      </c>
      <c r="O34" s="3">
        <f t="shared" si="26"/>
        <v>-5.7371497693827767</v>
      </c>
      <c r="P34" s="3">
        <f t="shared" si="27"/>
        <v>0.99940966410374954</v>
      </c>
      <c r="Q34" s="3" t="s">
        <v>48</v>
      </c>
      <c r="S34" s="3">
        <f>-0.4072*SIN(M34)+0.17241*P34*SIN(L34)+0.01608*SIN(2*M34)+0.01039*SIN(2*N34)+0.00739*P34*SIN(M34-L34)-0.00514*P34*SIN(M34+L34)+0.00208*P34^2*SIN(2*L34)-0.00111*SIN(M34-2*N34)-0.00057*SIN(M34+2*N34)+0.00056*P34*SIN(2*M34+L34)-0.00042*SIN(3*M34)+0.00042*P34*SIN(L34+2*N34)+0.00038*P34*SIN(L34-2*N34)-0.00024*P34*SIN(2*M34-L34)-0.00017*SIN(O34)-0.00007*SIN(M34+2*L34)+0.00004*SIN(2*M34-2*N34)+0.00004*SIN(3*L34)+0.00003*SIN(M34+L34-2*N34)+0.00003*SIN(2*M34+2*N34)-0.00003*SIN(M34+L34+2*N34)+0.00003*SIN(M34-L34+2*N34)-0.00002*SIN(M34-L34-2*N34)-0.00002*SIN(3*M34+L34)+0.00002*SIN(4*M34)</f>
        <v>-0.27518904043705378</v>
      </c>
      <c r="V34" s="3">
        <f t="shared" si="28"/>
        <v>-1.6828556099349084E-5</v>
      </c>
      <c r="W34" s="3">
        <f t="shared" si="29"/>
        <v>2460113.6932963873</v>
      </c>
      <c r="X34" s="3">
        <f t="shared" si="30"/>
        <v>5.7756054374576795</v>
      </c>
      <c r="Y34" s="3">
        <f t="shared" si="31"/>
        <v>4.478743324216536</v>
      </c>
      <c r="Z34" s="3">
        <f t="shared" si="32"/>
        <v>139.29257979948994</v>
      </c>
      <c r="AA34" s="3">
        <f t="shared" si="33"/>
        <v>190.39864214621852</v>
      </c>
      <c r="AB34" s="3">
        <f t="shared" si="34"/>
        <v>93.627652081688353</v>
      </c>
      <c r="AC34" s="3">
        <f t="shared" si="35"/>
        <v>272.26845890870715</v>
      </c>
      <c r="AD34" s="3">
        <f t="shared" si="36"/>
        <v>16.034728697429248</v>
      </c>
      <c r="AE34" s="3">
        <f t="shared" si="37"/>
        <v>39.685809658647152</v>
      </c>
      <c r="AF34" s="3">
        <f t="shared" si="38"/>
        <v>138.58401748748352</v>
      </c>
      <c r="AG34" s="3">
        <f t="shared" si="39"/>
        <v>4.232754350512427</v>
      </c>
      <c r="AH34" s="3">
        <f t="shared" si="40"/>
        <v>14.420083242106024</v>
      </c>
      <c r="AI34" s="3">
        <f t="shared" si="41"/>
        <v>125.30040992566965</v>
      </c>
      <c r="AJ34" s="3">
        <f t="shared" si="42"/>
        <v>133.31450893788673</v>
      </c>
      <c r="AK34" s="3">
        <f t="shared" si="43"/>
        <v>23.970006720764079</v>
      </c>
    </row>
    <row r="35" spans="1:37">
      <c r="A35" s="3" t="s">
        <v>51</v>
      </c>
      <c r="B35" s="9" t="s">
        <v>52</v>
      </c>
      <c r="C35" s="35">
        <f t="shared" si="0"/>
        <v>45103.326988248155</v>
      </c>
      <c r="D35" s="17"/>
      <c r="E35" s="17"/>
      <c r="F35" s="3">
        <v>50</v>
      </c>
      <c r="G35" s="3" t="s">
        <v>50</v>
      </c>
      <c r="H35" s="12">
        <f t="shared" si="44"/>
        <v>6.25</v>
      </c>
      <c r="I35" s="12">
        <f t="shared" si="45"/>
        <v>290.25</v>
      </c>
      <c r="J35" s="3">
        <f t="shared" si="46"/>
        <v>0.23467314329824138</v>
      </c>
      <c r="K35" s="3">
        <f t="shared" si="1"/>
        <v>2460121.3511495488</v>
      </c>
      <c r="L35" s="3">
        <f t="shared" si="23"/>
        <v>147.48700951247287</v>
      </c>
      <c r="M35" s="3">
        <f t="shared" si="24"/>
        <v>1957.996405847595</v>
      </c>
      <c r="N35" s="3">
        <f t="shared" si="25"/>
        <v>1981.8706560111625</v>
      </c>
      <c r="O35" s="3">
        <f t="shared" si="26"/>
        <v>-5.7439729378088193</v>
      </c>
      <c r="P35" s="3">
        <f t="shared" si="27"/>
        <v>0.99940915484247861</v>
      </c>
      <c r="Q35" s="3" t="s">
        <v>51</v>
      </c>
      <c r="R35" s="3">
        <f>0.00306-0.00038*P35*COS(L35)+0.00026*COS(M35)-0.00002*COS(M35-L35)+0.00002*COS(M35+L35)+0.00002*COS(2*N35)</f>
        <v>3.2667429375714636E-3</v>
      </c>
      <c r="U35" s="3">
        <f>-0.62801*SIN(M35)+0.17172*P35*SIN(L35)-0.01183*P35*SIN(M35+L35)+0.00862*SIN(2*M35)+0.00804*SIN(2*N35)+0.00454*P35*SIN(M35-L35)+0.00204*P35^2*SIN(2*L35)-0.0018*SIN(M35-2*N35)-0.0007*SIN(M35+2*N35)-0.0004*SIN(3*M35)-0.00034*P35*SIN(2*M35-L35)+0.00032*P35*SIN(L35+2*N35)+0.00032*P35*SIN(L35-2*N35)-0.00028*P35^2*SIN(M35+2*L35)+0.00027*P35*SIN(2*M35+L35)-0.00017*SIN(O35)-0.00005*SIN(M35-L35-2*N35)+0.00004*SIN(2*M35+2*N35)-0.00004*SIN(M35+L35+2*N35)+0.00004*SIN(M35-2*L35)+0.00003*SIN(M35+L35-2*N35)+0.00003*SIN(3*L35)+0.00002*SIN(2*M35-2*N35)+0.00002*SIN(M35-L35+2*N35)-0.00002*SIN(3*M35+L35)</f>
        <v>0.47258151908972956</v>
      </c>
      <c r="V35" s="3">
        <f t="shared" si="28"/>
        <v>-9.5627915453093062E-6</v>
      </c>
      <c r="W35" s="3">
        <f t="shared" si="29"/>
        <v>2460121.8269882482</v>
      </c>
      <c r="X35" s="3">
        <f t="shared" si="30"/>
        <v>5.7760740780865216</v>
      </c>
      <c r="Y35" s="3">
        <f t="shared" si="31"/>
        <v>4.4788145380133404</v>
      </c>
      <c r="Z35" s="3">
        <f t="shared" si="32"/>
        <v>139.40887059013147</v>
      </c>
      <c r="AA35" s="3">
        <f t="shared" si="33"/>
        <v>190.55752155369603</v>
      </c>
      <c r="AB35" s="3">
        <f t="shared" si="34"/>
        <v>93.707091785427124</v>
      </c>
      <c r="AC35" s="3">
        <f t="shared" si="35"/>
        <v>272.5010404856269</v>
      </c>
      <c r="AD35" s="3">
        <f t="shared" si="36"/>
        <v>16.045435123019637</v>
      </c>
      <c r="AE35" s="3">
        <f t="shared" si="37"/>
        <v>39.717691849892724</v>
      </c>
      <c r="AF35" s="3">
        <f t="shared" si="38"/>
        <v>138.70296708216429</v>
      </c>
      <c r="AG35" s="3">
        <f t="shared" si="39"/>
        <v>4.2332859079894147</v>
      </c>
      <c r="AH35" s="3">
        <f t="shared" si="40"/>
        <v>14.428130863657184</v>
      </c>
      <c r="AI35" s="3">
        <f t="shared" si="41"/>
        <v>125.40599429072081</v>
      </c>
      <c r="AJ35" s="3">
        <f t="shared" si="42"/>
        <v>133.42583083287104</v>
      </c>
      <c r="AK35" s="3">
        <f t="shared" si="43"/>
        <v>23.985682037648363</v>
      </c>
    </row>
    <row r="36" spans="1:37">
      <c r="A36" s="3" t="s">
        <v>53</v>
      </c>
      <c r="B36" s="9" t="s">
        <v>54</v>
      </c>
      <c r="C36" s="35">
        <f t="shared" si="0"/>
        <v>45110.486025670078</v>
      </c>
      <c r="D36" s="18"/>
      <c r="E36" s="17"/>
      <c r="F36" s="3">
        <v>99</v>
      </c>
      <c r="G36" s="3" t="s">
        <v>50</v>
      </c>
      <c r="H36" s="12">
        <f t="shared" si="44"/>
        <v>6.5</v>
      </c>
      <c r="I36" s="12">
        <f t="shared" si="45"/>
        <v>290.5</v>
      </c>
      <c r="J36" s="3">
        <f t="shared" si="46"/>
        <v>0.2348752734819608</v>
      </c>
      <c r="K36" s="3">
        <f t="shared" si="1"/>
        <v>2460128.733796841</v>
      </c>
      <c r="L36" s="3">
        <f t="shared" si="23"/>
        <v>147.61400558848865</v>
      </c>
      <c r="M36" s="3">
        <f t="shared" si="24"/>
        <v>1959.6798498230462</v>
      </c>
      <c r="N36" s="3">
        <f t="shared" si="25"/>
        <v>1983.5752776492632</v>
      </c>
      <c r="O36" s="3">
        <f t="shared" si="26"/>
        <v>-5.7507961062319106</v>
      </c>
      <c r="P36" s="3">
        <f t="shared" si="27"/>
        <v>0.99940864558060305</v>
      </c>
      <c r="Q36" s="3" t="s">
        <v>53</v>
      </c>
      <c r="T36" s="3">
        <f>-0.40614*SIN(M36)+0.17302*P36*SIN(L36)+0.01614*SIN(2*M36)+0.01043*SIN(2*N36)+0.00734*P36*SIN(M36-L36)-0.00515*P36*SIN(M36+L36)+0.00209*P36^2*SIN(2*L36)-0.00111*SIN(M36-2*N36)-0.00057*SIN(M36+2*N36)+0.00056*P36*SIN(2*M36+L36)-0.00042*SIN(3*M36)+0.00042*P36*SIN(L36+2*N36)+0.00038*P36*SIN(L36-2*N36)-0.00024*P36*SIN(2*M36-L36)-0.00017*SIN(O36)-0.00007*SIN(M36+2*L36)+0.00004*SIN(2*M36-2*N36)+0.00004*SIN(3*L36)+0.00003*SIN(M36+L36-2*N36)+0.00003*SIN(2*M36+2*N36)-0.00003*SIN(M36+L36+2*N36)+0.00003*SIN(M36-L36+2*N36)-0.00002*SIN(M36-L36-2*N36)-0.00002*SIN(3*M36+L36)+0.00002*SIN(4*M36)</f>
        <v>0.25223872591681823</v>
      </c>
      <c r="V36" s="3">
        <f t="shared" si="28"/>
        <v>-9.8966408472012956E-6</v>
      </c>
      <c r="W36" s="3">
        <f t="shared" si="29"/>
        <v>2460128.9860256701</v>
      </c>
      <c r="X36" s="3">
        <f t="shared" si="30"/>
        <v>5.77654271870228</v>
      </c>
      <c r="Y36" s="3">
        <f t="shared" si="31"/>
        <v>4.4788857518101439</v>
      </c>
      <c r="Z36" s="3">
        <f t="shared" si="32"/>
        <v>139.52516138077303</v>
      </c>
      <c r="AA36" s="3">
        <f t="shared" si="33"/>
        <v>190.71640096117355</v>
      </c>
      <c r="AB36" s="3">
        <f t="shared" si="34"/>
        <v>93.786531489165867</v>
      </c>
      <c r="AC36" s="3">
        <f t="shared" si="35"/>
        <v>272.73362206254671</v>
      </c>
      <c r="AD36" s="3">
        <f t="shared" si="36"/>
        <v>16.056141548610022</v>
      </c>
      <c r="AE36" s="3">
        <f t="shared" si="37"/>
        <v>39.749574041138295</v>
      </c>
      <c r="AF36" s="3">
        <f t="shared" si="38"/>
        <v>138.82191667684506</v>
      </c>
      <c r="AG36" s="3">
        <f t="shared" si="39"/>
        <v>4.2338174654664016</v>
      </c>
      <c r="AH36" s="3">
        <f t="shared" si="40"/>
        <v>14.436178485208339</v>
      </c>
      <c r="AI36" s="3">
        <f t="shared" si="41"/>
        <v>125.51157865577196</v>
      </c>
      <c r="AJ36" s="3">
        <f t="shared" si="42"/>
        <v>133.53715272785536</v>
      </c>
      <c r="AK36" s="3">
        <f t="shared" si="43"/>
        <v>24.001357354532658</v>
      </c>
    </row>
    <row r="37" spans="1:37">
      <c r="A37" s="3" t="s">
        <v>55</v>
      </c>
      <c r="B37" s="9" t="s">
        <v>56</v>
      </c>
      <c r="C37" s="35">
        <f t="shared" si="0"/>
        <v>45117.075783660635</v>
      </c>
      <c r="D37" s="17"/>
      <c r="E37" s="17"/>
      <c r="F37" s="3">
        <v>50</v>
      </c>
      <c r="G37" s="3" t="s">
        <v>50</v>
      </c>
      <c r="H37" s="12">
        <f t="shared" si="44"/>
        <v>6.75</v>
      </c>
      <c r="I37" s="12">
        <f t="shared" si="45"/>
        <v>290.75</v>
      </c>
      <c r="J37" s="3">
        <f t="shared" si="46"/>
        <v>0.23507740366568022</v>
      </c>
      <c r="K37" s="3">
        <f t="shared" si="1"/>
        <v>2460136.1164441342</v>
      </c>
      <c r="L37" s="3">
        <f t="shared" si="23"/>
        <v>147.74100166450438</v>
      </c>
      <c r="M37" s="3">
        <f t="shared" si="24"/>
        <v>1961.3632937985135</v>
      </c>
      <c r="N37" s="3">
        <f t="shared" si="25"/>
        <v>1985.2798992873609</v>
      </c>
      <c r="O37" s="3">
        <f t="shared" si="26"/>
        <v>-5.7576192746520496</v>
      </c>
      <c r="P37" s="3">
        <f t="shared" si="27"/>
        <v>0.99940813631812286</v>
      </c>
      <c r="Q37" s="3" t="s">
        <v>55</v>
      </c>
      <c r="R37" s="3">
        <f>-(0.00306-0.00038*P37*COS(L37)+0.00026*COS(M37)-0.00002*COS(M37-L37)+0.00002*COS(M37+L37)+0.00002*COS(2*N37))</f>
        <v>-3.5979948597577474E-3</v>
      </c>
      <c r="U37" s="3">
        <f>-0.62801*SIN(M37)+0.17172*P37*SIN(L37)-0.01183*P37*SIN(M37+L37)+0.00862*SIN(2*M37)+0.00804*SIN(2*N37)+0.00454*P37*SIN(M37-L37)+0.00204*P37^2*SIN(2*L37)-0.0018*SIN(M37-2*N37)-0.0007*SIN(M37+2*N37)-0.0004*SIN(3*M37)-0.00034*P37*SIN(2*M37-L37)+0.00032*P37*SIN(L37+2*N37)+0.00032*P37*SIN(L37-2*N37)-0.00028*P37^2*SIN(M37+2*L37)+0.00027*P37*SIN(2*M37+L37)-0.00017*SIN(O37)-0.00005*SIN(M37-L37-2*N37)+0.00004*SIN(2*M37+2*N37)-0.00004*SIN(M37+L37+2*N37)+0.00004*SIN(M37-2*L37)+0.00003*SIN(M37+L37-2*N37)+0.00003*SIN(3*L37)+0.00002*SIN(2*M37-2*N37)+0.00002*SIN(M37-L37+2*N37)-0.00002*SIN(3*M37+L37)</f>
        <v>-0.53704526830583998</v>
      </c>
      <c r="V37" s="3">
        <f t="shared" si="28"/>
        <v>-1.7210257352770113E-5</v>
      </c>
      <c r="W37" s="3">
        <f t="shared" si="29"/>
        <v>2460135.5757836606</v>
      </c>
      <c r="X37" s="3">
        <f t="shared" si="30"/>
        <v>5.7770113593049572</v>
      </c>
      <c r="Y37" s="3">
        <f t="shared" si="31"/>
        <v>4.4789569656069492</v>
      </c>
      <c r="Z37" s="3">
        <f t="shared" si="32"/>
        <v>139.64145217141458</v>
      </c>
      <c r="AA37" s="3">
        <f t="shared" si="33"/>
        <v>190.87528036865103</v>
      </c>
      <c r="AB37" s="3">
        <f t="shared" si="34"/>
        <v>93.865971192904624</v>
      </c>
      <c r="AC37" s="3">
        <f t="shared" si="35"/>
        <v>272.96620363946647</v>
      </c>
      <c r="AD37" s="3">
        <f t="shared" si="36"/>
        <v>16.06684797420041</v>
      </c>
      <c r="AE37" s="3">
        <f t="shared" si="37"/>
        <v>39.781456232383853</v>
      </c>
      <c r="AF37" s="3">
        <f t="shared" si="38"/>
        <v>138.94086627152583</v>
      </c>
      <c r="AG37" s="3">
        <f t="shared" si="39"/>
        <v>4.2343490229433893</v>
      </c>
      <c r="AH37" s="3">
        <f t="shared" si="40"/>
        <v>14.444226106759503</v>
      </c>
      <c r="AI37" s="3">
        <f t="shared" si="41"/>
        <v>125.61716302082314</v>
      </c>
      <c r="AJ37" s="3">
        <f t="shared" si="42"/>
        <v>133.64847462283967</v>
      </c>
      <c r="AK37" s="3">
        <f t="shared" si="43"/>
        <v>24.017032671416949</v>
      </c>
    </row>
    <row r="38" spans="1:37">
      <c r="A38" s="3" t="s">
        <v>48</v>
      </c>
      <c r="B38" s="9" t="s">
        <v>49</v>
      </c>
      <c r="C38" s="35">
        <f t="shared" si="0"/>
        <v>45124.772926279344</v>
      </c>
      <c r="D38" s="16"/>
      <c r="E38" s="17"/>
      <c r="F38" s="3">
        <v>1</v>
      </c>
      <c r="G38" s="3">
        <f>C38-C34</f>
        <v>29.579629892017692</v>
      </c>
      <c r="H38" s="12">
        <f t="shared" si="44"/>
        <v>7</v>
      </c>
      <c r="I38" s="12">
        <f t="shared" si="45"/>
        <v>291</v>
      </c>
      <c r="J38" s="3">
        <f t="shared" si="46"/>
        <v>0.23527953384939962</v>
      </c>
      <c r="K38" s="3">
        <f t="shared" si="1"/>
        <v>2460143.4990914268</v>
      </c>
      <c r="L38" s="3">
        <f t="shared" si="23"/>
        <v>147.86799774052014</v>
      </c>
      <c r="M38" s="3">
        <f t="shared" si="24"/>
        <v>1963.0467377739956</v>
      </c>
      <c r="N38" s="3">
        <f t="shared" si="25"/>
        <v>1986.9845209254565</v>
      </c>
      <c r="O38" s="3">
        <f t="shared" si="26"/>
        <v>-5.7644424430692336</v>
      </c>
      <c r="P38" s="3">
        <f t="shared" si="27"/>
        <v>0.99940762705503805</v>
      </c>
      <c r="Q38" s="3" t="s">
        <v>48</v>
      </c>
      <c r="S38" s="3">
        <f>-0.4072*SIN(M38)+0.17241*P38*SIN(L38)+0.01608*SIN(2*M38)+0.01039*SIN(2*N38)+0.00739*P38*SIN(M38-L38)-0.00514*P38*SIN(M38+L38)+0.00208*P38^2*SIN(2*L38)-0.00111*SIN(M38-2*N38)-0.00057*SIN(M38+2*N38)+0.00056*P38*SIN(2*M38+L38)-0.00042*SIN(3*M38)+0.00042*P38*SIN(L38+2*N38)+0.00038*P38*SIN(L38-2*N38)-0.00024*P38*SIN(2*M38-L38)-0.00017*SIN(O38)-0.00007*SIN(M38+2*L38)+0.00004*SIN(2*M38-2*N38)+0.00004*SIN(3*L38)+0.00003*SIN(M38+L38-2*N38)+0.00003*SIN(2*M38+2*N38)-0.00003*SIN(M38+L38+2*N38)+0.00003*SIN(M38-L38+2*N38)-0.00002*SIN(M38-L38-2*N38)-0.00002*SIN(3*M38+L38)+0.00002*SIN(4*M38)</f>
        <v>-0.22613446302323209</v>
      </c>
      <c r="V38" s="3">
        <f t="shared" si="28"/>
        <v>-3.0684075092088763E-5</v>
      </c>
      <c r="W38" s="3">
        <f t="shared" si="29"/>
        <v>2460143.2729262793</v>
      </c>
      <c r="X38" s="3">
        <f t="shared" si="30"/>
        <v>5.7774799998945516</v>
      </c>
      <c r="Y38" s="3">
        <f t="shared" si="31"/>
        <v>4.4790281794037536</v>
      </c>
      <c r="Z38" s="3">
        <f t="shared" si="32"/>
        <v>139.75774296205611</v>
      </c>
      <c r="AA38" s="3">
        <f t="shared" si="33"/>
        <v>191.03415977612849</v>
      </c>
      <c r="AB38" s="3">
        <f t="shared" si="34"/>
        <v>93.945410896643367</v>
      </c>
      <c r="AC38" s="3">
        <f t="shared" si="35"/>
        <v>273.19878521638623</v>
      </c>
      <c r="AD38" s="3">
        <f t="shared" si="36"/>
        <v>16.077554399790795</v>
      </c>
      <c r="AE38" s="3">
        <f t="shared" si="37"/>
        <v>39.813338423629425</v>
      </c>
      <c r="AF38" s="3">
        <f t="shared" si="38"/>
        <v>139.05981586620661</v>
      </c>
      <c r="AG38" s="3">
        <f t="shared" si="39"/>
        <v>4.2348805804203762</v>
      </c>
      <c r="AH38" s="3">
        <f t="shared" si="40"/>
        <v>14.452273728310663</v>
      </c>
      <c r="AI38" s="3">
        <f t="shared" si="41"/>
        <v>125.72274738587427</v>
      </c>
      <c r="AJ38" s="3">
        <f t="shared" si="42"/>
        <v>133.75979651782399</v>
      </c>
      <c r="AK38" s="3">
        <f t="shared" si="43"/>
        <v>24.032707988301237</v>
      </c>
    </row>
    <row r="39" spans="1:37">
      <c r="A39" s="3" t="s">
        <v>51</v>
      </c>
      <c r="B39" s="9" t="s">
        <v>52</v>
      </c>
      <c r="C39" s="35">
        <f t="shared" si="0"/>
        <v>45132.922234335914</v>
      </c>
      <c r="D39" s="17"/>
      <c r="E39" s="17"/>
      <c r="F39" s="3">
        <v>50</v>
      </c>
      <c r="G39" s="3" t="s">
        <v>50</v>
      </c>
      <c r="H39" s="12">
        <f t="shared" si="44"/>
        <v>7.25</v>
      </c>
      <c r="I39" s="12">
        <f t="shared" si="45"/>
        <v>291.25</v>
      </c>
      <c r="J39" s="3">
        <f t="shared" si="46"/>
        <v>0.23548166403311904</v>
      </c>
      <c r="K39" s="3">
        <f t="shared" si="1"/>
        <v>2460150.8817387195</v>
      </c>
      <c r="L39" s="3">
        <f t="shared" si="23"/>
        <v>147.99499381653581</v>
      </c>
      <c r="M39" s="3">
        <f t="shared" si="24"/>
        <v>1964.7301817494929</v>
      </c>
      <c r="N39" s="3">
        <f t="shared" si="25"/>
        <v>1988.6891425635504</v>
      </c>
      <c r="O39" s="3">
        <f t="shared" si="26"/>
        <v>-5.7712656114834671</v>
      </c>
      <c r="P39" s="3">
        <f t="shared" si="27"/>
        <v>0.99940711779134839</v>
      </c>
      <c r="Q39" s="3" t="s">
        <v>51</v>
      </c>
      <c r="R39" s="3">
        <f>0.00306-0.00038*P39*COS(L39)+0.00026*COS(M39)-0.00002*COS(M39-L39)+0.00002*COS(M39+L39)+0.00002*COS(2*N39)</f>
        <v>3.3395385784144626E-3</v>
      </c>
      <c r="U39" s="3">
        <f>-0.62801*SIN(M39)+0.17172*P39*SIN(L39)-0.01183*P39*SIN(M39+L39)+0.00862*SIN(2*M39)+0.00804*SIN(2*N39)+0.00454*P39*SIN(M39-L39)+0.00204*P39^2*SIN(2*L39)-0.0018*SIN(M39-2*N39)-0.0007*SIN(M39+2*N39)-0.0004*SIN(3*M39)-0.00034*P39*SIN(2*M39-L39)+0.00032*P39*SIN(L39+2*N39)+0.00032*P39*SIN(L39-2*N39)-0.00028*P39^2*SIN(M39+2*L39)+0.00027*P39*SIN(2*M39+L39)-0.00017*SIN(O39)-0.00005*SIN(M39-L39-2*N39)+0.00004*SIN(2*M39+2*N39)-0.00004*SIN(M39+L39+2*N39)+0.00004*SIN(M39-2*L39)+0.00003*SIN(M39+L39-2*N39)+0.00003*SIN(3*L39)+0.00002*SIN(2*M39-2*N39)+0.00002*SIN(M39-L39+2*N39)-0.00002*SIN(3*M39+L39)</f>
        <v>0.53720542005054461</v>
      </c>
      <c r="V39" s="3">
        <f t="shared" si="28"/>
        <v>-4.9342098149821322E-5</v>
      </c>
      <c r="W39" s="3">
        <f t="shared" si="29"/>
        <v>2460151.4222343359</v>
      </c>
      <c r="X39" s="3">
        <f t="shared" si="30"/>
        <v>5.7779486404710649</v>
      </c>
      <c r="Y39" s="3">
        <f t="shared" si="31"/>
        <v>4.4790993932005581</v>
      </c>
      <c r="Z39" s="3">
        <f t="shared" si="32"/>
        <v>139.87403375269767</v>
      </c>
      <c r="AA39" s="3">
        <f t="shared" si="33"/>
        <v>191.19303918360606</v>
      </c>
      <c r="AB39" s="3">
        <f t="shared" si="34"/>
        <v>94.024850600382123</v>
      </c>
      <c r="AC39" s="3">
        <f t="shared" si="35"/>
        <v>273.43136679330598</v>
      </c>
      <c r="AD39" s="3">
        <f t="shared" si="36"/>
        <v>16.08826082538118</v>
      </c>
      <c r="AE39" s="3">
        <f t="shared" si="37"/>
        <v>39.845220614874997</v>
      </c>
      <c r="AF39" s="3">
        <f t="shared" si="38"/>
        <v>139.17876546088738</v>
      </c>
      <c r="AG39" s="3">
        <f t="shared" si="39"/>
        <v>4.2354121378973639</v>
      </c>
      <c r="AH39" s="3">
        <f t="shared" si="40"/>
        <v>14.460321349861823</v>
      </c>
      <c r="AI39" s="3">
        <f t="shared" si="41"/>
        <v>125.82833175092544</v>
      </c>
      <c r="AJ39" s="3">
        <f t="shared" si="42"/>
        <v>133.8711184128083</v>
      </c>
      <c r="AK39" s="3">
        <f t="shared" si="43"/>
        <v>24.048383305185528</v>
      </c>
    </row>
    <row r="40" spans="1:37">
      <c r="A40" s="3" t="s">
        <v>53</v>
      </c>
      <c r="B40" s="9" t="s">
        <v>54</v>
      </c>
      <c r="C40" s="35">
        <f t="shared" si="0"/>
        <v>45139.772764325142</v>
      </c>
      <c r="D40" s="18"/>
      <c r="E40" s="17"/>
      <c r="F40" s="3">
        <v>99</v>
      </c>
      <c r="G40" s="3" t="s">
        <v>50</v>
      </c>
      <c r="H40" s="12">
        <f t="shared" si="44"/>
        <v>7.5</v>
      </c>
      <c r="I40" s="12">
        <f t="shared" si="45"/>
        <v>291.5</v>
      </c>
      <c r="J40" s="3">
        <f t="shared" si="46"/>
        <v>0.23568379421683847</v>
      </c>
      <c r="K40" s="3">
        <f t="shared" si="1"/>
        <v>2460158.2643860127</v>
      </c>
      <c r="L40" s="3">
        <f t="shared" si="23"/>
        <v>148.12198989255148</v>
      </c>
      <c r="M40" s="3">
        <f t="shared" si="24"/>
        <v>1966.4136257250063</v>
      </c>
      <c r="N40" s="3">
        <f t="shared" si="25"/>
        <v>1990.3937642016413</v>
      </c>
      <c r="O40" s="3">
        <f t="shared" si="26"/>
        <v>-5.7780887798947456</v>
      </c>
      <c r="P40" s="3">
        <f t="shared" si="27"/>
        <v>0.9994066085270541</v>
      </c>
      <c r="Q40" s="3" t="s">
        <v>53</v>
      </c>
      <c r="T40" s="3">
        <f>-0.40614*SIN(M40)+0.17302*P40*SIN(L40)+0.01614*SIN(2*M40)+0.01043*SIN(2*N40)+0.00734*P40*SIN(M40-L40)-0.00515*P40*SIN(M40+L40)+0.00209*P40^2*SIN(2*L40)-0.00111*SIN(M40-2*N40)-0.00057*SIN(M40+2*N40)+0.00056*P40*SIN(2*M40+L40)-0.00042*SIN(3*M40)+0.00042*P40*SIN(L40+2*N40)+0.00038*P40*SIN(L40-2*N40)-0.00024*P40*SIN(2*M40-L40)-0.00017*SIN(O40)-0.00007*SIN(M40+2*L40)+0.00004*SIN(2*M40-2*N40)+0.00004*SIN(3*L40)+0.00003*SIN(M40+L40-2*N40)+0.00003*SIN(2*M40+2*N40)-0.00003*SIN(M40+L40+2*N40)+0.00003*SIN(M40-L40+2*N40)-0.00002*SIN(M40-L40-2*N40)-0.00002*SIN(3*M40+L40)+0.00002*SIN(4*M40)</f>
        <v>8.4504130821357135E-3</v>
      </c>
      <c r="V40" s="3">
        <f t="shared" si="28"/>
        <v>-7.2100460462657455E-5</v>
      </c>
      <c r="W40" s="3">
        <f t="shared" si="29"/>
        <v>2460158.2727643251</v>
      </c>
      <c r="X40" s="3">
        <f t="shared" si="30"/>
        <v>5.7784172810344963</v>
      </c>
      <c r="Y40" s="3">
        <f t="shared" si="31"/>
        <v>4.4791706069973625</v>
      </c>
      <c r="Z40" s="3">
        <f t="shared" si="32"/>
        <v>139.99032454333923</v>
      </c>
      <c r="AA40" s="3">
        <f t="shared" si="33"/>
        <v>191.35191859108352</v>
      </c>
      <c r="AB40" s="3">
        <f t="shared" si="34"/>
        <v>94.10429030412088</v>
      </c>
      <c r="AC40" s="3">
        <f t="shared" si="35"/>
        <v>273.66394837022574</v>
      </c>
      <c r="AD40" s="3">
        <f t="shared" si="36"/>
        <v>16.098967250971569</v>
      </c>
      <c r="AE40" s="3">
        <f t="shared" si="37"/>
        <v>39.877102806120561</v>
      </c>
      <c r="AF40" s="3">
        <f t="shared" si="38"/>
        <v>139.29771505556815</v>
      </c>
      <c r="AG40" s="3">
        <f t="shared" si="39"/>
        <v>4.2359436953743517</v>
      </c>
      <c r="AH40" s="3">
        <f t="shared" si="40"/>
        <v>14.468368971412984</v>
      </c>
      <c r="AI40" s="3">
        <f t="shared" si="41"/>
        <v>125.93391611597661</v>
      </c>
      <c r="AJ40" s="3">
        <f t="shared" si="42"/>
        <v>133.98244030779261</v>
      </c>
      <c r="AK40" s="3">
        <f t="shared" si="43"/>
        <v>24.064058622069815</v>
      </c>
    </row>
    <row r="41" spans="1:37">
      <c r="A41" s="3" t="s">
        <v>55</v>
      </c>
      <c r="B41" s="9" t="s">
        <v>56</v>
      </c>
      <c r="C41" s="35">
        <f t="shared" si="0"/>
        <v>45146.437240193132</v>
      </c>
      <c r="D41" s="17"/>
      <c r="E41" s="17"/>
      <c r="F41" s="3">
        <v>50</v>
      </c>
      <c r="G41" s="3" t="s">
        <v>50</v>
      </c>
      <c r="H41" s="12">
        <f t="shared" si="44"/>
        <v>7.75</v>
      </c>
      <c r="I41" s="12">
        <f t="shared" si="45"/>
        <v>291.75</v>
      </c>
      <c r="J41" s="3">
        <f t="shared" si="46"/>
        <v>0.23588592440055789</v>
      </c>
      <c r="K41" s="3">
        <f t="shared" si="1"/>
        <v>2460165.6470333054</v>
      </c>
      <c r="L41" s="3">
        <f t="shared" si="23"/>
        <v>148.24898596856715</v>
      </c>
      <c r="M41" s="3">
        <f t="shared" si="24"/>
        <v>1968.0970697005341</v>
      </c>
      <c r="N41" s="3">
        <f t="shared" si="25"/>
        <v>1992.0983858397301</v>
      </c>
      <c r="O41" s="3">
        <f t="shared" si="26"/>
        <v>-5.78491194830307</v>
      </c>
      <c r="P41" s="3">
        <f t="shared" si="27"/>
        <v>0.99940609926215518</v>
      </c>
      <c r="Q41" s="3" t="s">
        <v>55</v>
      </c>
      <c r="R41" s="3">
        <f>-(0.00306-0.00038*P41*COS(L41)+0.00026*COS(M41)-0.00002*COS(M41-L41)+0.00002*COS(M41+L41)+0.00002*COS(2*N41))</f>
        <v>-3.4415122599608353E-3</v>
      </c>
      <c r="U41" s="3">
        <f>-0.62801*SIN(M41)+0.17172*P41*SIN(L41)-0.01183*P41*SIN(M41+L41)+0.00862*SIN(2*M41)+0.00804*SIN(2*N41)+0.00454*P41*SIN(M41-L41)+0.00204*P41^2*SIN(2*L41)-0.0018*SIN(M41-2*N41)-0.0007*SIN(M41+2*N41)-0.0004*SIN(3*M41)-0.00034*P41*SIN(2*M41-L41)+0.00032*P41*SIN(L41+2*N41)+0.00032*P41*SIN(L41-2*N41)-0.00028*P41^2*SIN(M41+2*L41)+0.00027*P41*SIN(2*M41+L41)-0.00017*SIN(O41)-0.00005*SIN(M41-L41-2*N41)+0.00004*SIN(2*M41+2*N41)-0.00004*SIN(M41+L41+2*N41)+0.00004*SIN(M41-2*L41)+0.00003*SIN(M41+L41-2*N41)+0.00003*SIN(3*L41)+0.00002*SIN(2*M41-2*N41)+0.00002*SIN(M41-L41+2*N41)-0.00002*SIN(3*M41+L41)</f>
        <v>-0.70625378162220065</v>
      </c>
      <c r="V41" s="3">
        <f t="shared" si="28"/>
        <v>-9.7818845672935465E-5</v>
      </c>
      <c r="W41" s="3">
        <f t="shared" si="29"/>
        <v>2460164.9372401931</v>
      </c>
      <c r="X41" s="3">
        <f t="shared" si="30"/>
        <v>5.7788859215848438</v>
      </c>
      <c r="Y41" s="3">
        <f t="shared" si="31"/>
        <v>4.4792418207941669</v>
      </c>
      <c r="Z41" s="3">
        <f t="shared" si="32"/>
        <v>140.10661533398076</v>
      </c>
      <c r="AA41" s="3">
        <f t="shared" si="33"/>
        <v>191.51079799856103</v>
      </c>
      <c r="AB41" s="3">
        <f t="shared" si="34"/>
        <v>94.183730007859609</v>
      </c>
      <c r="AC41" s="3">
        <f t="shared" si="35"/>
        <v>273.8965299471455</v>
      </c>
      <c r="AD41" s="3">
        <f t="shared" si="36"/>
        <v>16.109673676561954</v>
      </c>
      <c r="AE41" s="3">
        <f t="shared" si="37"/>
        <v>39.908984997366133</v>
      </c>
      <c r="AF41" s="3">
        <f t="shared" si="38"/>
        <v>139.41666465024892</v>
      </c>
      <c r="AG41" s="3">
        <f t="shared" si="39"/>
        <v>4.2364752528513385</v>
      </c>
      <c r="AH41" s="3">
        <f t="shared" si="40"/>
        <v>14.476416592964144</v>
      </c>
      <c r="AI41" s="3">
        <f t="shared" si="41"/>
        <v>126.03950048102774</v>
      </c>
      <c r="AJ41" s="3">
        <f t="shared" si="42"/>
        <v>134.09376220277696</v>
      </c>
      <c r="AK41" s="3">
        <f t="shared" si="43"/>
        <v>24.079733938954114</v>
      </c>
    </row>
    <row r="42" spans="1:37">
      <c r="A42" s="3" t="s">
        <v>48</v>
      </c>
      <c r="B42" s="9" t="s">
        <v>49</v>
      </c>
      <c r="C42" s="35">
        <f t="shared" ref="C42:C65" si="47">W42-2415018.5+$D$7/24</f>
        <v>45154.402339632623</v>
      </c>
      <c r="D42" s="16"/>
      <c r="E42" s="17"/>
      <c r="F42" s="3">
        <v>1</v>
      </c>
      <c r="G42" s="3">
        <f>C42-C38</f>
        <v>29.629413353279233</v>
      </c>
      <c r="H42" s="12">
        <f t="shared" si="44"/>
        <v>8</v>
      </c>
      <c r="I42" s="12">
        <f t="shared" si="45"/>
        <v>292</v>
      </c>
      <c r="J42" s="3">
        <f t="shared" ref="J42:J65" si="48">I42/($C$3*100)</f>
        <v>0.23608805458427728</v>
      </c>
      <c r="K42" s="3">
        <f t="shared" ref="K42:K65" si="49">2451550.09765+$C$2*I42+0.0001337*J42*J42-0.00000015*J42*J42*J42</f>
        <v>2460173.0296805981</v>
      </c>
      <c r="L42" s="3">
        <f t="shared" ref="L42:L65" si="50">(2.5534+29.10535669*I42-0.0000218*J42^2-0.00000011*J42^3)*PI()/180</f>
        <v>148.37598204458274</v>
      </c>
      <c r="M42" s="3">
        <f t="shared" ref="M42:M65" si="51">(201.5643+385.81693528*I42+0.0107437*J42^2+0.00001239*J42^3-0.000000058*J42^4)*PI()/180</f>
        <v>1969.7805136760778</v>
      </c>
      <c r="N42" s="3">
        <f t="shared" ref="N42:N65" si="52">(160.7108+390.67050274*I42-0.0016341*J42^2-0.00000227*J42^3+0.000000011*J42^4)*PI()/180</f>
        <v>1993.8030074778164</v>
      </c>
      <c r="O42" s="3">
        <f t="shared" ref="O42:O65" si="53">(124.7746-1.5637558*I42+0.0020691*J42^2+0.00000215*J42^3)*PI()/180</f>
        <v>-5.7917351167084421</v>
      </c>
      <c r="P42" s="3">
        <f t="shared" ref="P42:P65" si="54">1-0.002516*J42-0.0000074*J42^2</f>
        <v>0.99940558999665152</v>
      </c>
      <c r="Q42" s="3" t="s">
        <v>48</v>
      </c>
      <c r="S42" s="3">
        <f>-0.4072*SIN(M42)+0.17241*P42*SIN(L42)+0.01608*SIN(2*M42)+0.01039*SIN(2*N42)+0.00739*P42*SIN(M42-L42)-0.00514*P42*SIN(M42+L42)+0.00208*P42^2*SIN(2*L42)-0.00111*SIN(M42-2*N42)-0.00057*SIN(M42+2*N42)+0.00056*P42*SIN(2*M42+L42)-0.00042*SIN(3*M42)+0.00042*P42*SIN(L42+2*N42)+0.00038*P42*SIN(L42-2*N42)-0.00024*P42*SIN(2*M42-L42)-0.00017*SIN(O42)-0.00007*SIN(M42+2*L42)+0.00004*SIN(2*M42-2*N42)+0.00004*SIN(3*L42)+0.00003*SIN(M42+L42-2*N42)+0.00003*SIN(2*M42+2*N42)-0.00003*SIN(M42+L42+2*N42)+0.00003*SIN(M42-L42+2*N42)-0.00002*SIN(M42-L42-2*N42)-0.00002*SIN(3*M42+L42)+0.00002*SIN(4*M42)</f>
        <v>-0.12721561329085207</v>
      </c>
      <c r="V42" s="3">
        <f t="shared" ref="V42:V65" si="55">0.000325*SIN(X42)+0.000165*SIN(Y42)+0.000164*SIN(Z42)+0.000126*SIN(AA42)+0.00011*SIN(AB42)+0.000062*SIN(AC42)+0.00006*SIN(AD42)+0.000056*SIN(AE42)+0.000047*SIN(AF42)+0.000042*SIN(AG42)+0.00004*SIN(AH42)+0.000037*SIN(AI42)+0.000035*SIN(AJ42)+0.000023*SIN(AK42)</f>
        <v>-1.2535225798134569E-4</v>
      </c>
      <c r="W42" s="3">
        <f t="shared" ref="W42:W65" si="56">K42+R42+S42+T42+U42+V42</f>
        <v>2460172.9023396326</v>
      </c>
      <c r="X42" s="3">
        <f t="shared" ref="X42:X65" si="57">(299.77+0.107408*I42-0.009173*J42^2)*PI()/180</f>
        <v>5.7793545621221094</v>
      </c>
      <c r="Y42" s="3">
        <f t="shared" ref="Y42:Y65" si="58">(251.88+0.016321*I42)*PI()/180</f>
        <v>4.4793130345909722</v>
      </c>
      <c r="Z42" s="3">
        <f t="shared" ref="Z42:Z65" si="59">(251.83+26.651886*I42)*PI()/180</f>
        <v>140.22290612462231</v>
      </c>
      <c r="AA42" s="3">
        <f t="shared" ref="AA42:AA65" si="60">(349.42+36.412478*I42)*PI()/180</f>
        <v>191.66967740603852</v>
      </c>
      <c r="AB42" s="3">
        <f t="shared" ref="AB42:AB65" si="61">(84.66+18.206239*I42)*PI()/180</f>
        <v>94.263169711598366</v>
      </c>
      <c r="AC42" s="3">
        <f t="shared" ref="AC42:AC65" si="62">(141.74+53.303771*I42)*PI()/180</f>
        <v>274.12911152406531</v>
      </c>
      <c r="AD42" s="3">
        <f t="shared" ref="AD42:AD65" si="63">(207.14+2.453732*I42)*PI()/180</f>
        <v>16.120380102152339</v>
      </c>
      <c r="AE42" s="3">
        <f t="shared" ref="AE42:AE65" si="64">(154.84+7.30686*I42)*PI()/180</f>
        <v>39.940867188611705</v>
      </c>
      <c r="AF42" s="3">
        <f t="shared" ref="AF42:AF65" si="65">(34.52+27.261239*I42)*PI()/180</f>
        <v>139.53561424492969</v>
      </c>
      <c r="AG42" s="3">
        <f t="shared" ref="AG42:AG65" si="66">(207.19+0.121824*I42)*PI()/180</f>
        <v>4.2370068103283263</v>
      </c>
      <c r="AH42" s="3">
        <f t="shared" ref="AH42:AH65" si="67">(291.34+1.844379*I42)*PI()/180</f>
        <v>14.484464214515306</v>
      </c>
      <c r="AI42" s="3">
        <f t="shared" ref="AI42:AI65" si="68">(161.72+24.198154*I42)*PI()/180</f>
        <v>126.14508484607892</v>
      </c>
      <c r="AJ42" s="3">
        <f t="shared" ref="AJ42:AJ65" si="69">(239.56+25.513099*I42)*PI()/180</f>
        <v>134.20508409776127</v>
      </c>
      <c r="AK42" s="3">
        <f t="shared" ref="AK42:AK65" si="70">(331.55+3.592518*I42)*PI()/180</f>
        <v>24.095409255838401</v>
      </c>
    </row>
    <row r="43" spans="1:37">
      <c r="A43" s="3" t="s">
        <v>51</v>
      </c>
      <c r="B43" s="9" t="s">
        <v>52</v>
      </c>
      <c r="C43" s="35">
        <f t="shared" si="47"/>
        <v>45162.415640272666</v>
      </c>
      <c r="D43" s="17"/>
      <c r="E43" s="17"/>
      <c r="F43" s="3">
        <v>50</v>
      </c>
      <c r="G43" s="3" t="s">
        <v>50</v>
      </c>
      <c r="H43" s="12">
        <f t="shared" ref="H43:H65" si="71">H42+0.25</f>
        <v>8.25</v>
      </c>
      <c r="I43" s="12">
        <f t="shared" ref="I43:I65" si="72">$I$10+H43</f>
        <v>292.25</v>
      </c>
      <c r="J43" s="3">
        <f t="shared" si="48"/>
        <v>0.23629018476799671</v>
      </c>
      <c r="K43" s="3">
        <f t="shared" si="49"/>
        <v>2460180.4123278912</v>
      </c>
      <c r="L43" s="3">
        <f t="shared" si="50"/>
        <v>148.50297812059833</v>
      </c>
      <c r="M43" s="3">
        <f t="shared" si="51"/>
        <v>1971.4639576516367</v>
      </c>
      <c r="N43" s="3">
        <f t="shared" si="52"/>
        <v>1995.507629115901</v>
      </c>
      <c r="O43" s="3">
        <f t="shared" si="53"/>
        <v>-5.7985582851108628</v>
      </c>
      <c r="P43" s="3">
        <f t="shared" si="54"/>
        <v>0.99940508073054324</v>
      </c>
      <c r="Q43" s="3" t="s">
        <v>51</v>
      </c>
      <c r="R43" s="3">
        <f>0.00306-0.00038*P43*COS(L43)+0.00026*COS(M43)-0.00002*COS(M43-L43)+0.00002*COS(M43+L43)+0.00002*COS(2*N43)</f>
        <v>3.3184819875712937E-3</v>
      </c>
      <c r="U43" s="3">
        <f>-0.62801*SIN(M43)+0.17172*P43*SIN(L43)-0.01183*P43*SIN(M43+L43)+0.00862*SIN(2*M43)+0.00804*SIN(2*N43)+0.00454*P43*SIN(M43-L43)+0.00204*P43^2*SIN(2*L43)-0.0018*SIN(M43-2*N43)-0.0007*SIN(M43+2*N43)-0.0004*SIN(3*M43)-0.00034*P43*SIN(2*M43-L43)+0.00032*P43*SIN(L43+2*N43)+0.00032*P43*SIN(L43-2*N43)-0.00028*P43^2*SIN(M43+2*L43)+0.00027*P43*SIN(2*M43+L43)-0.00017*SIN(O43)-0.00005*SIN(M43-L43-2*N43)+0.00004*SIN(2*M43+2*N43)-0.00004*SIN(M43+L43+2*N43)+0.00004*SIN(M43-2*L43)+0.00003*SIN(M43+L43-2*N43)+0.00003*SIN(3*L43)+0.00002*SIN(2*M43-2*N43)+0.00002*SIN(M43-L43+2*N43)-0.00002*SIN(3*M43+L43)</f>
        <v>0.50014750015327414</v>
      </c>
      <c r="V43" s="3">
        <f t="shared" si="55"/>
        <v>-1.536006640411233E-4</v>
      </c>
      <c r="W43" s="3">
        <f t="shared" si="56"/>
        <v>2460180.9156402727</v>
      </c>
      <c r="X43" s="3">
        <f t="shared" si="57"/>
        <v>5.779823202646293</v>
      </c>
      <c r="Y43" s="3">
        <f t="shared" si="58"/>
        <v>4.4793842483877757</v>
      </c>
      <c r="Z43" s="3">
        <f t="shared" si="59"/>
        <v>140.33919691526384</v>
      </c>
      <c r="AA43" s="3">
        <f t="shared" si="60"/>
        <v>191.828556813516</v>
      </c>
      <c r="AB43" s="3">
        <f t="shared" si="61"/>
        <v>94.342609415337108</v>
      </c>
      <c r="AC43" s="3">
        <f t="shared" si="62"/>
        <v>274.36169310098506</v>
      </c>
      <c r="AD43" s="3">
        <f t="shared" si="63"/>
        <v>16.131086527742728</v>
      </c>
      <c r="AE43" s="3">
        <f t="shared" si="64"/>
        <v>39.972749379857262</v>
      </c>
      <c r="AF43" s="3">
        <f t="shared" si="65"/>
        <v>139.65456383961046</v>
      </c>
      <c r="AG43" s="3">
        <f t="shared" si="66"/>
        <v>4.237538367805314</v>
      </c>
      <c r="AH43" s="3">
        <f t="shared" si="67"/>
        <v>14.492511836066466</v>
      </c>
      <c r="AI43" s="3">
        <f t="shared" si="68"/>
        <v>126.25066921113007</v>
      </c>
      <c r="AJ43" s="3">
        <f t="shared" si="69"/>
        <v>134.31640599274562</v>
      </c>
      <c r="AK43" s="3">
        <f t="shared" si="70"/>
        <v>24.111084572722692</v>
      </c>
    </row>
    <row r="44" spans="1:37">
      <c r="A44" s="3" t="s">
        <v>53</v>
      </c>
      <c r="B44" s="9" t="s">
        <v>54</v>
      </c>
      <c r="C44" s="35">
        <f t="shared" si="47"/>
        <v>45169.067204277497</v>
      </c>
      <c r="D44" s="18"/>
      <c r="E44" s="17"/>
      <c r="F44" s="3">
        <v>99</v>
      </c>
      <c r="G44" s="3" t="s">
        <v>50</v>
      </c>
      <c r="H44" s="12">
        <f t="shared" si="71"/>
        <v>8.5</v>
      </c>
      <c r="I44" s="12">
        <f t="shared" si="72"/>
        <v>292.5</v>
      </c>
      <c r="J44" s="3">
        <f t="shared" si="48"/>
        <v>0.23649231495171613</v>
      </c>
      <c r="K44" s="3">
        <f t="shared" si="49"/>
        <v>2460187.7949751839</v>
      </c>
      <c r="L44" s="3">
        <f t="shared" si="50"/>
        <v>148.62997419661389</v>
      </c>
      <c r="M44" s="3">
        <f t="shared" si="51"/>
        <v>1973.1474016272107</v>
      </c>
      <c r="N44" s="3">
        <f t="shared" si="52"/>
        <v>1997.2122507539823</v>
      </c>
      <c r="O44" s="3">
        <f t="shared" si="53"/>
        <v>-5.8053814535103294</v>
      </c>
      <c r="P44" s="3">
        <f t="shared" si="54"/>
        <v>0.99940457146383033</v>
      </c>
      <c r="Q44" s="3" t="s">
        <v>53</v>
      </c>
      <c r="T44" s="3">
        <f>-0.40614*SIN(M44)+0.17302*P44*SIN(L44)+0.01614*SIN(2*M44)+0.01043*SIN(2*N44)+0.00734*P44*SIN(M44-L44)-0.00515*P44*SIN(M44+L44)+0.00209*P44^2*SIN(2*L44)-0.00111*SIN(M44-2*N44)-0.00057*SIN(M44+2*N44)+0.00056*P44*SIN(2*M44+L44)-0.00042*SIN(3*M44)+0.00042*P44*SIN(L44+2*N44)+0.00038*P44*SIN(L44-2*N44)-0.00024*P44*SIN(2*M44-L44)-0.00017*SIN(O44)-0.00007*SIN(M44+2*L44)+0.00004*SIN(2*M44-2*N44)+0.00004*SIN(3*L44)+0.00003*SIN(M44+L44-2*N44)+0.00003*SIN(2*M44+2*N44)-0.00003*SIN(M44+L44+2*N44)+0.00003*SIN(M44-L44+2*N44)-0.00002*SIN(M44-L44-2*N44)-0.00002*SIN(3*M44+L44)+0.00002*SIN(4*M44)</f>
        <v>-0.22758935193593116</v>
      </c>
      <c r="V44" s="3">
        <f t="shared" si="55"/>
        <v>-1.8155418031524481E-4</v>
      </c>
      <c r="W44" s="3">
        <f t="shared" si="56"/>
        <v>2460187.5672042775</v>
      </c>
      <c r="X44" s="3">
        <f t="shared" si="57"/>
        <v>5.7802918431573946</v>
      </c>
      <c r="Y44" s="3">
        <f t="shared" si="58"/>
        <v>4.4794554621845801</v>
      </c>
      <c r="Z44" s="3">
        <f t="shared" si="59"/>
        <v>140.4554877059054</v>
      </c>
      <c r="AA44" s="3">
        <f t="shared" si="60"/>
        <v>191.98743622099354</v>
      </c>
      <c r="AB44" s="3">
        <f t="shared" si="61"/>
        <v>94.422049119075865</v>
      </c>
      <c r="AC44" s="3">
        <f t="shared" si="62"/>
        <v>274.59427467790482</v>
      </c>
      <c r="AD44" s="3">
        <f t="shared" si="63"/>
        <v>16.141792953333113</v>
      </c>
      <c r="AE44" s="3">
        <f t="shared" si="64"/>
        <v>40.004631571102834</v>
      </c>
      <c r="AF44" s="3">
        <f t="shared" si="65"/>
        <v>139.77351343429123</v>
      </c>
      <c r="AG44" s="3">
        <f t="shared" si="66"/>
        <v>4.2380699252823009</v>
      </c>
      <c r="AH44" s="3">
        <f t="shared" si="67"/>
        <v>14.500559457617621</v>
      </c>
      <c r="AI44" s="3">
        <f t="shared" si="68"/>
        <v>126.35625357618123</v>
      </c>
      <c r="AJ44" s="3">
        <f t="shared" si="69"/>
        <v>134.42772788772993</v>
      </c>
      <c r="AK44" s="3">
        <f t="shared" si="70"/>
        <v>24.12675988960698</v>
      </c>
    </row>
    <row r="45" spans="1:37">
      <c r="A45" s="3" t="s">
        <v>55</v>
      </c>
      <c r="B45" s="9" t="s">
        <v>56</v>
      </c>
      <c r="C45" s="35">
        <f t="shared" si="47"/>
        <v>45175.932178379968</v>
      </c>
      <c r="D45" s="17"/>
      <c r="E45" s="17"/>
      <c r="F45" s="3">
        <v>50</v>
      </c>
      <c r="G45" s="3" t="s">
        <v>50</v>
      </c>
      <c r="H45" s="12">
        <f t="shared" si="71"/>
        <v>8.75</v>
      </c>
      <c r="I45" s="12">
        <f t="shared" si="72"/>
        <v>292.75</v>
      </c>
      <c r="J45" s="3">
        <f t="shared" si="48"/>
        <v>0.23669444513543553</v>
      </c>
      <c r="K45" s="3">
        <f t="shared" si="49"/>
        <v>2460195.1776224771</v>
      </c>
      <c r="L45" s="3">
        <f t="shared" si="50"/>
        <v>148.75697027262933</v>
      </c>
      <c r="M45" s="3">
        <f t="shared" si="51"/>
        <v>1974.8308456028003</v>
      </c>
      <c r="N45" s="3">
        <f t="shared" si="52"/>
        <v>1998.9168723920618</v>
      </c>
      <c r="O45" s="3">
        <f t="shared" si="53"/>
        <v>-5.8122046219068428</v>
      </c>
      <c r="P45" s="3">
        <f t="shared" si="54"/>
        <v>0.99940406219651268</v>
      </c>
      <c r="Q45" s="3" t="s">
        <v>55</v>
      </c>
      <c r="R45" s="3">
        <f>-(0.00306-0.00038*P45*COS(L45)+0.00026*COS(M45)-0.00002*COS(M45-L45)+0.00002*COS(M45+L45)+0.00002*COS(2*N45))</f>
        <v>-3.1753907636660815E-3</v>
      </c>
      <c r="U45" s="3">
        <f>-0.62801*SIN(M45)+0.17172*P45*SIN(L45)-0.01183*P45*SIN(M45+L45)+0.00862*SIN(2*M45)+0.00804*SIN(2*N45)+0.00454*P45*SIN(M45-L45)+0.00204*P45^2*SIN(2*L45)-0.0018*SIN(M45-2*N45)-0.0007*SIN(M45+2*N45)-0.0004*SIN(3*M45)-0.00034*P45*SIN(2*M45-L45)+0.00032*P45*SIN(L45+2*N45)+0.00032*P45*SIN(L45-2*N45)-0.00028*P45^2*SIN(M45+2*L45)+0.00027*P45*SIN(2*M45+L45)-0.00017*SIN(O45)-0.00005*SIN(M45-L45-2*N45)+0.00004*SIN(2*M45+2*N45)-0.00004*SIN(M45+L45+2*N45)+0.00004*SIN(M45-2*L45)+0.00003*SIN(M45+L45-2*N45)+0.00003*SIN(3*L45)+0.00002*SIN(2*M45-2*N45)+0.00002*SIN(M45-L45+2*N45)-0.00002*SIN(3*M45+L45)</f>
        <v>-0.74206037433571459</v>
      </c>
      <c r="V45" s="3">
        <f t="shared" si="55"/>
        <v>-2.0833175093871182E-4</v>
      </c>
      <c r="W45" s="3">
        <f t="shared" si="56"/>
        <v>2460194.43217838</v>
      </c>
      <c r="X45" s="3">
        <f t="shared" si="57"/>
        <v>5.7807604836554134</v>
      </c>
      <c r="Y45" s="3">
        <f t="shared" si="58"/>
        <v>4.4795266759813845</v>
      </c>
      <c r="Z45" s="3">
        <f t="shared" si="59"/>
        <v>140.57177849654693</v>
      </c>
      <c r="AA45" s="3">
        <f t="shared" si="60"/>
        <v>192.14631562847103</v>
      </c>
      <c r="AB45" s="3">
        <f t="shared" si="61"/>
        <v>94.501488822814622</v>
      </c>
      <c r="AC45" s="3">
        <f t="shared" si="62"/>
        <v>274.82685625482458</v>
      </c>
      <c r="AD45" s="3">
        <f t="shared" si="63"/>
        <v>16.152499378923498</v>
      </c>
      <c r="AE45" s="3">
        <f t="shared" si="64"/>
        <v>40.036513762348406</v>
      </c>
      <c r="AF45" s="3">
        <f t="shared" si="65"/>
        <v>139.892463028972</v>
      </c>
      <c r="AG45" s="3">
        <f t="shared" si="66"/>
        <v>4.2386014827592877</v>
      </c>
      <c r="AH45" s="3">
        <f t="shared" si="67"/>
        <v>14.508607079168781</v>
      </c>
      <c r="AI45" s="3">
        <f t="shared" si="68"/>
        <v>126.46183794123239</v>
      </c>
      <c r="AJ45" s="3">
        <f t="shared" si="69"/>
        <v>134.53904978271424</v>
      </c>
      <c r="AK45" s="3">
        <f t="shared" si="70"/>
        <v>24.142435206491271</v>
      </c>
    </row>
    <row r="46" spans="1:37">
      <c r="A46" s="3" t="s">
        <v>48</v>
      </c>
      <c r="B46" s="9" t="s">
        <v>49</v>
      </c>
      <c r="C46" s="35">
        <f t="shared" si="47"/>
        <v>45184.070201668888</v>
      </c>
      <c r="D46" s="16"/>
      <c r="E46" s="17"/>
      <c r="F46" s="3">
        <v>1</v>
      </c>
      <c r="G46" s="3">
        <f>C46-C42</f>
        <v>29.667862036265433</v>
      </c>
      <c r="H46" s="12">
        <f t="shared" si="71"/>
        <v>9</v>
      </c>
      <c r="I46" s="12">
        <f t="shared" si="72"/>
        <v>293</v>
      </c>
      <c r="J46" s="3">
        <f t="shared" si="48"/>
        <v>0.23689657531915495</v>
      </c>
      <c r="K46" s="3">
        <f t="shared" si="49"/>
        <v>2460202.5602697697</v>
      </c>
      <c r="L46" s="3">
        <f t="shared" si="50"/>
        <v>148.8839663486448</v>
      </c>
      <c r="M46" s="3">
        <f t="shared" si="51"/>
        <v>1976.5142895784052</v>
      </c>
      <c r="N46" s="3">
        <f t="shared" si="52"/>
        <v>2000.6214940301388</v>
      </c>
      <c r="O46" s="3">
        <f t="shared" si="53"/>
        <v>-5.819027790300404</v>
      </c>
      <c r="P46" s="3">
        <f t="shared" si="54"/>
        <v>0.99940355292859029</v>
      </c>
      <c r="Q46" s="3" t="s">
        <v>48</v>
      </c>
      <c r="S46" s="3">
        <f>-0.4072*SIN(M46)+0.17241*P46*SIN(L46)+0.01608*SIN(2*M46)+0.01039*SIN(2*N46)+0.00739*P46*SIN(M46-L46)-0.00514*P46*SIN(M46+L46)+0.00208*P46^2*SIN(2*L46)-0.00111*SIN(M46-2*N46)-0.00057*SIN(M46+2*N46)+0.00056*P46*SIN(2*M46+L46)-0.00042*SIN(3*M46)+0.00042*P46*SIN(L46+2*N46)+0.00038*P46*SIN(L46-2*N46)-0.00024*P46*SIN(2*M46-L46)-0.00017*SIN(O46)-0.00007*SIN(M46+2*L46)+0.00004*SIN(2*M46-2*N46)+0.00004*SIN(3*L46)+0.00003*SIN(M46+L46-2*N46)+0.00003*SIN(2*M46+2*N46)-0.00003*SIN(M46+L46+2*N46)+0.00003*SIN(M46-L46+2*N46)-0.00002*SIN(M46-L46-2*N46)-0.00002*SIN(3*M46+L46)+0.00002*SIN(4*M46)</f>
        <v>1.0165110544568172E-2</v>
      </c>
      <c r="V46" s="3">
        <f t="shared" si="55"/>
        <v>-2.3321163291664782E-4</v>
      </c>
      <c r="W46" s="3">
        <f t="shared" si="56"/>
        <v>2460202.5702016689</v>
      </c>
      <c r="X46" s="3">
        <f t="shared" si="57"/>
        <v>5.7812291241403511</v>
      </c>
      <c r="Y46" s="3">
        <f t="shared" si="58"/>
        <v>4.4795978897781898</v>
      </c>
      <c r="Z46" s="3">
        <f t="shared" si="59"/>
        <v>140.68806928718848</v>
      </c>
      <c r="AA46" s="3">
        <f t="shared" si="60"/>
        <v>192.30519503594854</v>
      </c>
      <c r="AB46" s="3">
        <f t="shared" si="61"/>
        <v>94.580928526553365</v>
      </c>
      <c r="AC46" s="3">
        <f t="shared" si="62"/>
        <v>275.05943783174433</v>
      </c>
      <c r="AD46" s="3">
        <f t="shared" si="63"/>
        <v>16.163205804513886</v>
      </c>
      <c r="AE46" s="3">
        <f t="shared" si="64"/>
        <v>40.068395953593971</v>
      </c>
      <c r="AF46" s="3">
        <f t="shared" si="65"/>
        <v>140.01141262365277</v>
      </c>
      <c r="AG46" s="3">
        <f t="shared" si="66"/>
        <v>4.2391330402362764</v>
      </c>
      <c r="AH46" s="3">
        <f t="shared" si="67"/>
        <v>14.516654700719945</v>
      </c>
      <c r="AI46" s="3">
        <f t="shared" si="68"/>
        <v>126.56742230628356</v>
      </c>
      <c r="AJ46" s="3">
        <f t="shared" si="69"/>
        <v>134.65037167769853</v>
      </c>
      <c r="AK46" s="3">
        <f t="shared" si="70"/>
        <v>24.158110523375562</v>
      </c>
    </row>
    <row r="47" spans="1:37">
      <c r="A47" s="3" t="s">
        <v>51</v>
      </c>
      <c r="B47" s="9" t="s">
        <v>52</v>
      </c>
      <c r="C47" s="35">
        <f t="shared" si="47"/>
        <v>45191.814661243465</v>
      </c>
      <c r="D47" s="17"/>
      <c r="E47" s="17"/>
      <c r="F47" s="3">
        <v>50</v>
      </c>
      <c r="G47" s="3" t="s">
        <v>50</v>
      </c>
      <c r="H47" s="12">
        <f t="shared" si="71"/>
        <v>9.25</v>
      </c>
      <c r="I47" s="12">
        <f t="shared" si="72"/>
        <v>293.25</v>
      </c>
      <c r="J47" s="3">
        <f t="shared" si="48"/>
        <v>0.23709870550287437</v>
      </c>
      <c r="K47" s="3">
        <f t="shared" si="49"/>
        <v>2460209.9429170629</v>
      </c>
      <c r="L47" s="3">
        <f t="shared" si="50"/>
        <v>149.01096242466028</v>
      </c>
      <c r="M47" s="3">
        <f t="shared" si="51"/>
        <v>1978.197733554025</v>
      </c>
      <c r="N47" s="3">
        <f t="shared" si="52"/>
        <v>2002.3261156682136</v>
      </c>
      <c r="O47" s="3">
        <f t="shared" si="53"/>
        <v>-5.8258509586910119</v>
      </c>
      <c r="P47" s="3">
        <f t="shared" si="54"/>
        <v>0.99940304366006327</v>
      </c>
      <c r="Q47" s="3" t="s">
        <v>51</v>
      </c>
      <c r="R47" s="3">
        <f>0.00306-0.00038*P47*COS(L47)+0.00026*COS(M47)-0.00002*COS(M47-L47)+0.00002*COS(M47+L47)+0.00002*COS(2*N47)</f>
        <v>3.2343786256248818E-3</v>
      </c>
      <c r="U47" s="3">
        <f>-0.62801*SIN(M47)+0.17172*P47*SIN(L47)-0.01183*P47*SIN(M47+L47)+0.00862*SIN(2*M47)+0.00804*SIN(2*N47)+0.00454*P47*SIN(M47-L47)+0.00204*P47^2*SIN(2*L47)-0.0018*SIN(M47-2*N47)-0.0007*SIN(M47+2*N47)-0.0004*SIN(3*M47)-0.00034*P47*SIN(2*M47-L47)+0.00032*P47*SIN(L47+2*N47)+0.00032*P47*SIN(L47-2*N47)-0.00028*P47^2*SIN(M47+2*L47)+0.00027*P47*SIN(2*M47+L47)-0.00017*SIN(O47)-0.00005*SIN(M47-L47-2*N47)+0.00004*SIN(2*M47+2*N47)-0.00004*SIN(M47+L47+2*N47)+0.00004*SIN(M47-2*L47)+0.00003*SIN(M47+L47-2*N47)+0.00003*SIN(3*L47)+0.00002*SIN(2*M47-2*N47)+0.00002*SIN(M47-L47+2*N47)-0.00002*SIN(3*M47+L47)</f>
        <v>0.36876545423702412</v>
      </c>
      <c r="V47" s="3">
        <f t="shared" si="55"/>
        <v>-2.5565245816102641E-4</v>
      </c>
      <c r="W47" s="3">
        <f t="shared" si="56"/>
        <v>2460210.3146612435</v>
      </c>
      <c r="X47" s="3">
        <f t="shared" si="57"/>
        <v>5.781697764612205</v>
      </c>
      <c r="Y47" s="3">
        <f t="shared" si="58"/>
        <v>4.4796691035749934</v>
      </c>
      <c r="Z47" s="3">
        <f t="shared" si="59"/>
        <v>140.80436007783001</v>
      </c>
      <c r="AA47" s="3">
        <f t="shared" si="60"/>
        <v>192.464074443426</v>
      </c>
      <c r="AB47" s="3">
        <f t="shared" si="61"/>
        <v>94.660368230292121</v>
      </c>
      <c r="AC47" s="3">
        <f t="shared" si="62"/>
        <v>275.29201940866409</v>
      </c>
      <c r="AD47" s="3">
        <f t="shared" si="63"/>
        <v>16.173912230104271</v>
      </c>
      <c r="AE47" s="3">
        <f t="shared" si="64"/>
        <v>40.100278144839542</v>
      </c>
      <c r="AF47" s="3">
        <f t="shared" si="65"/>
        <v>140.13036221833354</v>
      </c>
      <c r="AG47" s="3">
        <f t="shared" si="66"/>
        <v>4.2396645977132632</v>
      </c>
      <c r="AH47" s="3">
        <f t="shared" si="67"/>
        <v>14.524702322271105</v>
      </c>
      <c r="AI47" s="3">
        <f t="shared" si="68"/>
        <v>126.67300667133473</v>
      </c>
      <c r="AJ47" s="3">
        <f t="shared" si="69"/>
        <v>134.76169357268284</v>
      </c>
      <c r="AK47" s="3">
        <f t="shared" si="70"/>
        <v>24.17378584025985</v>
      </c>
    </row>
    <row r="48" spans="1:37">
      <c r="A48" s="3" t="s">
        <v>53</v>
      </c>
      <c r="B48" s="9" t="s">
        <v>54</v>
      </c>
      <c r="C48" s="35">
        <f t="shared" si="47"/>
        <v>45198.415842201095</v>
      </c>
      <c r="D48" s="18"/>
      <c r="E48" s="17"/>
      <c r="F48" s="3">
        <v>99</v>
      </c>
      <c r="G48" s="3" t="s">
        <v>50</v>
      </c>
      <c r="H48" s="12">
        <f t="shared" si="71"/>
        <v>9.5</v>
      </c>
      <c r="I48" s="12">
        <f t="shared" si="72"/>
        <v>293.5</v>
      </c>
      <c r="J48" s="3">
        <f t="shared" si="48"/>
        <v>0.2373008356865938</v>
      </c>
      <c r="K48" s="3">
        <f t="shared" si="49"/>
        <v>2460217.3255643556</v>
      </c>
      <c r="L48" s="3">
        <f t="shared" si="50"/>
        <v>149.13795850067572</v>
      </c>
      <c r="M48" s="3">
        <f t="shared" si="51"/>
        <v>1979.8811775296606</v>
      </c>
      <c r="N48" s="3">
        <f t="shared" si="52"/>
        <v>2004.030737306286</v>
      </c>
      <c r="O48" s="3">
        <f t="shared" si="53"/>
        <v>-5.8326741270786657</v>
      </c>
      <c r="P48" s="3">
        <f t="shared" si="54"/>
        <v>0.99940253439093152</v>
      </c>
      <c r="Q48" s="3" t="s">
        <v>53</v>
      </c>
      <c r="T48" s="3">
        <f>-0.40614*SIN(M48)+0.17302*P48*SIN(L48)+0.01614*SIN(2*M48)+0.01043*SIN(2*N48)+0.00734*P48*SIN(M48-L48)-0.00515*P48*SIN(M48+L48)+0.00209*P48^2*SIN(2*L48)-0.00111*SIN(M48-2*N48)-0.00057*SIN(M48+2*N48)+0.00056*P48*SIN(2*M48+L48)-0.00042*SIN(3*M48)+0.00042*P48*SIN(L48+2*N48)+0.00038*P48*SIN(L48-2*N48)-0.00024*P48*SIN(2*M48-L48)-0.00017*SIN(O48)-0.00007*SIN(M48+2*L48)+0.00004*SIN(2*M48-2*N48)+0.00004*SIN(3*L48)+0.00003*SIN(M48+L48-2*N48)+0.00003*SIN(2*M48+2*N48)-0.00003*SIN(M48+L48+2*N48)+0.00003*SIN(M48-L48+2*N48)-0.00002*SIN(M48-L48-2*N48)-0.00002*SIN(3*M48+L48)+0.00002*SIN(4*M48)</f>
        <v>-0.40944685019879568</v>
      </c>
      <c r="V48" s="3">
        <f t="shared" si="55"/>
        <v>-2.7530415102460301E-4</v>
      </c>
      <c r="W48" s="3">
        <f t="shared" si="56"/>
        <v>2460216.9158422011</v>
      </c>
      <c r="X48" s="3">
        <f t="shared" si="57"/>
        <v>5.7821664050709778</v>
      </c>
      <c r="Y48" s="3">
        <f t="shared" si="58"/>
        <v>4.4797403173717987</v>
      </c>
      <c r="Z48" s="3">
        <f t="shared" si="59"/>
        <v>140.92065086847157</v>
      </c>
      <c r="AA48" s="3">
        <f t="shared" si="60"/>
        <v>192.62295385090354</v>
      </c>
      <c r="AB48" s="3">
        <f t="shared" si="61"/>
        <v>94.739807934030878</v>
      </c>
      <c r="AC48" s="3">
        <f t="shared" si="62"/>
        <v>275.5246009855839</v>
      </c>
      <c r="AD48" s="3">
        <f t="shared" si="63"/>
        <v>16.184618655694656</v>
      </c>
      <c r="AE48" s="3">
        <f t="shared" si="64"/>
        <v>40.132160336085114</v>
      </c>
      <c r="AF48" s="3">
        <f t="shared" si="65"/>
        <v>140.24931181301432</v>
      </c>
      <c r="AG48" s="3">
        <f t="shared" si="66"/>
        <v>4.2401961551902509</v>
      </c>
      <c r="AH48" s="3">
        <f t="shared" si="67"/>
        <v>14.532749943822266</v>
      </c>
      <c r="AI48" s="3">
        <f t="shared" si="68"/>
        <v>126.77859103638586</v>
      </c>
      <c r="AJ48" s="3">
        <f t="shared" si="69"/>
        <v>134.87301546766719</v>
      </c>
      <c r="AK48" s="3">
        <f t="shared" si="70"/>
        <v>24.189461157144144</v>
      </c>
    </row>
    <row r="49" spans="1:37">
      <c r="A49" s="3" t="s">
        <v>55</v>
      </c>
      <c r="B49" s="9" t="s">
        <v>56</v>
      </c>
      <c r="C49" s="35">
        <f t="shared" si="47"/>
        <v>45205.575687907636</v>
      </c>
      <c r="D49" s="17"/>
      <c r="E49" s="17"/>
      <c r="F49" s="3">
        <v>50</v>
      </c>
      <c r="G49" s="3" t="s">
        <v>50</v>
      </c>
      <c r="H49" s="12">
        <f t="shared" si="71"/>
        <v>9.75</v>
      </c>
      <c r="I49" s="12">
        <f t="shared" si="72"/>
        <v>293.75</v>
      </c>
      <c r="J49" s="3">
        <f t="shared" si="48"/>
        <v>0.23750296587031319</v>
      </c>
      <c r="K49" s="3">
        <f t="shared" si="49"/>
        <v>2460224.7082116487</v>
      </c>
      <c r="L49" s="3">
        <f t="shared" si="50"/>
        <v>149.26495457669108</v>
      </c>
      <c r="M49" s="3">
        <f t="shared" si="51"/>
        <v>1981.5646215053116</v>
      </c>
      <c r="N49" s="3">
        <f t="shared" si="52"/>
        <v>2005.735358944356</v>
      </c>
      <c r="O49" s="3">
        <f t="shared" si="53"/>
        <v>-5.8394972954633673</v>
      </c>
      <c r="P49" s="3">
        <f t="shared" si="54"/>
        <v>0.99940202512119514</v>
      </c>
      <c r="Q49" s="3" t="s">
        <v>55</v>
      </c>
      <c r="R49" s="3">
        <f>-(0.00306-0.00038*P49*COS(L49)+0.00026*COS(M49)-0.00002*COS(M49-L49)+0.00002*COS(M49+L49)+0.00002*COS(2*N49))</f>
        <v>-2.8695874967021064E-3</v>
      </c>
      <c r="U49" s="3">
        <f>-0.62801*SIN(M49)+0.17172*P49*SIN(L49)-0.01183*P49*SIN(M49+L49)+0.00862*SIN(2*M49)+0.00804*SIN(2*N49)+0.00454*P49*SIN(M49-L49)+0.00204*P49^2*SIN(2*L49)-0.0018*SIN(M49-2*N49)-0.0007*SIN(M49+2*N49)-0.0004*SIN(3*M49)-0.00034*P49*SIN(2*M49-L49)+0.00032*P49*SIN(L49+2*N49)+0.00032*P49*SIN(L49-2*N49)-0.00028*P49^2*SIN(M49+2*L49)+0.00027*P49*SIN(2*M49+L49)-0.00017*SIN(O49)-0.00005*SIN(M49-L49-2*N49)+0.00004*SIN(2*M49+2*N49)-0.00004*SIN(M49+L49+2*N49)+0.00004*SIN(M49-2*L49)+0.00003*SIN(M49+L49-2*N49)+0.00003*SIN(3*L49)+0.00002*SIN(2*M49-2*N49)+0.00002*SIN(M49-L49+2*N49)-0.00002*SIN(3*M49+L49)</f>
        <v>-0.6293621450756246</v>
      </c>
      <c r="V49" s="3">
        <f t="shared" si="55"/>
        <v>-2.9200851842168217E-4</v>
      </c>
      <c r="W49" s="3">
        <f t="shared" si="56"/>
        <v>2460224.0756879076</v>
      </c>
      <c r="X49" s="3">
        <f t="shared" si="57"/>
        <v>5.7826350455166686</v>
      </c>
      <c r="Y49" s="3">
        <f t="shared" si="58"/>
        <v>4.4798115311686031</v>
      </c>
      <c r="Z49" s="3">
        <f t="shared" si="59"/>
        <v>141.03694165911313</v>
      </c>
      <c r="AA49" s="3">
        <f t="shared" si="60"/>
        <v>192.78183325838106</v>
      </c>
      <c r="AB49" s="3">
        <f t="shared" si="61"/>
        <v>94.819247637769621</v>
      </c>
      <c r="AC49" s="3">
        <f t="shared" si="62"/>
        <v>275.75718256250366</v>
      </c>
      <c r="AD49" s="3">
        <f t="shared" si="63"/>
        <v>16.195325081285045</v>
      </c>
      <c r="AE49" s="3">
        <f t="shared" si="64"/>
        <v>40.164042527330672</v>
      </c>
      <c r="AF49" s="3">
        <f t="shared" si="65"/>
        <v>140.36826140769509</v>
      </c>
      <c r="AG49" s="3">
        <f t="shared" si="66"/>
        <v>4.2407277126672378</v>
      </c>
      <c r="AH49" s="3">
        <f t="shared" si="67"/>
        <v>14.540797565373426</v>
      </c>
      <c r="AI49" s="3">
        <f t="shared" si="68"/>
        <v>126.88417540143703</v>
      </c>
      <c r="AJ49" s="3">
        <f t="shared" si="69"/>
        <v>134.9843373626515</v>
      </c>
      <c r="AK49" s="3">
        <f t="shared" si="70"/>
        <v>24.205136474028436</v>
      </c>
    </row>
    <row r="50" spans="1:37">
      <c r="A50" s="3" t="s">
        <v>48</v>
      </c>
      <c r="B50" s="9" t="s">
        <v>49</v>
      </c>
      <c r="C50" s="35">
        <f t="shared" si="47"/>
        <v>45213.747540032957</v>
      </c>
      <c r="D50" s="16"/>
      <c r="E50" s="17"/>
      <c r="F50" s="3">
        <v>1</v>
      </c>
      <c r="G50" s="3">
        <f>C50-C46</f>
        <v>29.677338364068419</v>
      </c>
      <c r="H50" s="12">
        <f t="shared" si="71"/>
        <v>10</v>
      </c>
      <c r="I50" s="12">
        <f t="shared" si="72"/>
        <v>294</v>
      </c>
      <c r="J50" s="3">
        <f t="shared" si="48"/>
        <v>0.23770509605403262</v>
      </c>
      <c r="K50" s="3">
        <f t="shared" si="49"/>
        <v>2460232.0908589414</v>
      </c>
      <c r="L50" s="3">
        <f t="shared" si="50"/>
        <v>149.39195065270644</v>
      </c>
      <c r="M50" s="3">
        <f t="shared" si="51"/>
        <v>1983.2480654809783</v>
      </c>
      <c r="N50" s="3">
        <f t="shared" si="52"/>
        <v>2007.4399805824244</v>
      </c>
      <c r="O50" s="3">
        <f t="shared" si="53"/>
        <v>-5.8463204638451156</v>
      </c>
      <c r="P50" s="3">
        <f t="shared" si="54"/>
        <v>0.99940151585085424</v>
      </c>
      <c r="Q50" s="3" t="s">
        <v>48</v>
      </c>
      <c r="S50" s="3">
        <f>-0.4072*SIN(M50)+0.17241*P50*SIN(L50)+0.01608*SIN(2*M50)+0.01039*SIN(2*N50)+0.00739*P50*SIN(M50-L50)-0.00514*P50*SIN(M50+L50)+0.00208*P50^2*SIN(2*L50)-0.00111*SIN(M50-2*N50)-0.00057*SIN(M50+2*N50)+0.00056*P50*SIN(2*M50+L50)-0.00042*SIN(3*M50)+0.00042*P50*SIN(L50+2*N50)+0.00038*P50*SIN(L50-2*N50)-0.00024*P50*SIN(2*M50-L50)-0.00017*SIN(O50)-0.00007*SIN(M50+2*L50)+0.00004*SIN(2*M50-2*N50)+0.00004*SIN(3*L50)+0.00003*SIN(M50+L50-2*N50)+0.00003*SIN(2*M50+2*N50)-0.00003*SIN(M50+L50+2*N50)+0.00003*SIN(M50-L50+2*N50)-0.00002*SIN(M50-L50-2*N50)-0.00002*SIN(3*M50+L50)+0.00002*SIN(4*M50)</f>
        <v>0.15698688136844019</v>
      </c>
      <c r="V50" s="3">
        <f t="shared" si="55"/>
        <v>-3.0578986877804776E-4</v>
      </c>
      <c r="W50" s="3">
        <f t="shared" si="56"/>
        <v>2460232.247540033</v>
      </c>
      <c r="X50" s="3">
        <f t="shared" si="57"/>
        <v>5.7831036859492766</v>
      </c>
      <c r="Y50" s="3">
        <f t="shared" si="58"/>
        <v>4.4798827449654075</v>
      </c>
      <c r="Z50" s="3">
        <f t="shared" si="59"/>
        <v>141.15323244975468</v>
      </c>
      <c r="AA50" s="3">
        <f t="shared" si="60"/>
        <v>192.94071266585851</v>
      </c>
      <c r="AB50" s="3">
        <f t="shared" si="61"/>
        <v>94.898687341508378</v>
      </c>
      <c r="AC50" s="3">
        <f t="shared" si="62"/>
        <v>275.98976413942341</v>
      </c>
      <c r="AD50" s="3">
        <f t="shared" si="63"/>
        <v>16.20603150687543</v>
      </c>
      <c r="AE50" s="3">
        <f t="shared" si="64"/>
        <v>40.195924718576244</v>
      </c>
      <c r="AF50" s="3">
        <f t="shared" si="65"/>
        <v>140.48721100237586</v>
      </c>
      <c r="AG50" s="3">
        <f t="shared" si="66"/>
        <v>4.2412592701442255</v>
      </c>
      <c r="AH50" s="3">
        <f t="shared" si="67"/>
        <v>14.548845186924586</v>
      </c>
      <c r="AI50" s="3">
        <f t="shared" si="68"/>
        <v>126.98975976648819</v>
      </c>
      <c r="AJ50" s="3">
        <f t="shared" si="69"/>
        <v>135.09565925763582</v>
      </c>
      <c r="AK50" s="3">
        <f t="shared" si="70"/>
        <v>24.220811790912723</v>
      </c>
    </row>
    <row r="51" spans="1:37">
      <c r="A51" s="3" t="s">
        <v>51</v>
      </c>
      <c r="B51" s="9" t="s">
        <v>52</v>
      </c>
      <c r="C51" s="35">
        <f t="shared" si="47"/>
        <v>45221.146349915303</v>
      </c>
      <c r="D51" s="17"/>
      <c r="E51" s="17"/>
      <c r="F51" s="3">
        <v>50</v>
      </c>
      <c r="G51" s="3" t="s">
        <v>50</v>
      </c>
      <c r="H51" s="12">
        <f t="shared" si="71"/>
        <v>10.25</v>
      </c>
      <c r="I51" s="12">
        <f t="shared" si="72"/>
        <v>294.25</v>
      </c>
      <c r="J51" s="3">
        <f t="shared" si="48"/>
        <v>0.23790722623775204</v>
      </c>
      <c r="K51" s="3">
        <f t="shared" si="49"/>
        <v>2460239.4735062346</v>
      </c>
      <c r="L51" s="3">
        <f t="shared" si="50"/>
        <v>149.51894672872177</v>
      </c>
      <c r="M51" s="3">
        <f t="shared" si="51"/>
        <v>1984.9315094566596</v>
      </c>
      <c r="N51" s="3">
        <f t="shared" si="52"/>
        <v>2009.1446022204893</v>
      </c>
      <c r="O51" s="3">
        <f t="shared" si="53"/>
        <v>-5.8531436322239108</v>
      </c>
      <c r="P51" s="3">
        <f t="shared" si="54"/>
        <v>0.99940100657990849</v>
      </c>
      <c r="Q51" s="3" t="s">
        <v>51</v>
      </c>
      <c r="R51" s="3">
        <f>0.00306-0.00038*P51*COS(L51)+0.00026*COS(M51)-0.00002*COS(M51-L51)+0.00002*COS(M51+L51)+0.00002*COS(2*N51)</f>
        <v>3.1313611690456104E-3</v>
      </c>
      <c r="U51" s="3">
        <f>-0.62801*SIN(M51)+0.17172*P51*SIN(L51)-0.01183*P51*SIN(M51+L51)+0.00862*SIN(2*M51)+0.00804*SIN(2*N51)+0.00454*P51*SIN(M51-L51)+0.00204*P51^2*SIN(2*L51)-0.0018*SIN(M51-2*N51)-0.0007*SIN(M51+2*N51)-0.0004*SIN(3*M51)-0.00034*P51*SIN(2*M51-L51)+0.00032*P51*SIN(L51+2*N51)+0.00032*P51*SIN(L51-2*N51)-0.00028*P51^2*SIN(M51+2*L51)+0.00027*P51*SIN(2*M51+L51)-0.00017*SIN(O51)-0.00005*SIN(M51-L51-2*N51)+0.00004*SIN(2*M51+2*N51)-0.00004*SIN(M51+L51+2*N51)+0.00004*SIN(M51-2*L51)+0.00003*SIN(M51+L51-2*N51)+0.00003*SIN(3*L51)+0.00002*SIN(2*M51-2*N51)+0.00002*SIN(M51-L51+2*N51)-0.00002*SIN(3*M51+L51)</f>
        <v>0.17002915599928339</v>
      </c>
      <c r="V51" s="3">
        <f t="shared" si="55"/>
        <v>-3.1683652754340455E-4</v>
      </c>
      <c r="W51" s="3">
        <f t="shared" si="56"/>
        <v>2460239.6463499153</v>
      </c>
      <c r="X51" s="3">
        <f t="shared" si="57"/>
        <v>5.7835723263688035</v>
      </c>
      <c r="Y51" s="3">
        <f t="shared" si="58"/>
        <v>4.479953958762211</v>
      </c>
      <c r="Z51" s="3">
        <f t="shared" si="59"/>
        <v>141.26952324039621</v>
      </c>
      <c r="AA51" s="3">
        <f t="shared" si="60"/>
        <v>193.09959207333603</v>
      </c>
      <c r="AB51" s="3">
        <f t="shared" si="61"/>
        <v>94.978127045247106</v>
      </c>
      <c r="AC51" s="3">
        <f t="shared" si="62"/>
        <v>276.22234571634317</v>
      </c>
      <c r="AD51" s="3">
        <f t="shared" si="63"/>
        <v>16.216737932465815</v>
      </c>
      <c r="AE51" s="3">
        <f t="shared" si="64"/>
        <v>40.227806909821815</v>
      </c>
      <c r="AF51" s="3">
        <f t="shared" si="65"/>
        <v>140.60616059705663</v>
      </c>
      <c r="AG51" s="3">
        <f t="shared" si="66"/>
        <v>4.2417908276212124</v>
      </c>
      <c r="AH51" s="3">
        <f t="shared" si="67"/>
        <v>14.556892808475746</v>
      </c>
      <c r="AI51" s="3">
        <f t="shared" si="68"/>
        <v>127.09534413153935</v>
      </c>
      <c r="AJ51" s="3">
        <f t="shared" si="69"/>
        <v>135.20698115262013</v>
      </c>
      <c r="AK51" s="3">
        <f t="shared" si="70"/>
        <v>24.236487107797014</v>
      </c>
    </row>
    <row r="52" spans="1:37">
      <c r="A52" s="3" t="s">
        <v>53</v>
      </c>
      <c r="B52" s="9" t="s">
        <v>54</v>
      </c>
      <c r="C52" s="35">
        <f t="shared" si="47"/>
        <v>45227.850918116979</v>
      </c>
      <c r="D52" s="18"/>
      <c r="E52" s="17"/>
      <c r="F52" s="3">
        <v>99</v>
      </c>
      <c r="G52" s="3" t="s">
        <v>50</v>
      </c>
      <c r="H52" s="12">
        <f t="shared" si="71"/>
        <v>10.5</v>
      </c>
      <c r="I52" s="12">
        <f t="shared" si="72"/>
        <v>294.5</v>
      </c>
      <c r="J52" s="3">
        <f t="shared" si="48"/>
        <v>0.23810935642147144</v>
      </c>
      <c r="K52" s="3">
        <f t="shared" si="49"/>
        <v>2460246.8561535273</v>
      </c>
      <c r="L52" s="3">
        <f t="shared" si="50"/>
        <v>149.64594280473707</v>
      </c>
      <c r="M52" s="3">
        <f t="shared" si="51"/>
        <v>1986.6149534323563</v>
      </c>
      <c r="N52" s="3">
        <f t="shared" si="52"/>
        <v>2010.8492238585527</v>
      </c>
      <c r="O52" s="3">
        <f t="shared" si="53"/>
        <v>-5.8599668005997527</v>
      </c>
      <c r="P52" s="3">
        <f t="shared" si="54"/>
        <v>0.999400497308358</v>
      </c>
      <c r="Q52" s="3" t="s">
        <v>53</v>
      </c>
      <c r="T52" s="3">
        <f>-0.40614*SIN(M52)+0.17302*P52*SIN(L52)+0.01614*SIN(2*M52)+0.01043*SIN(2*N52)+0.00734*P52*SIN(M52-L52)-0.00515*P52*SIN(M52+L52)+0.00209*P52^2*SIN(2*L52)-0.00111*SIN(M52-2*N52)-0.00057*SIN(M52+2*N52)+0.00056*P52*SIN(2*M52+L52)-0.00042*SIN(3*M52)+0.00042*P52*SIN(L52+2*N52)+0.00038*P52*SIN(L52-2*N52)-0.00024*P52*SIN(2*M52-L52)-0.00017*SIN(O52)-0.00007*SIN(M52+2*L52)+0.00004*SIN(2*M52-2*N52)+0.00004*SIN(3*L52)+0.00003*SIN(M52+L52-2*N52)+0.00003*SIN(2*M52+2*N52)-0.00003*SIN(M52+L52+2*N52)+0.00003*SIN(M52-L52+2*N52)-0.00002*SIN(M52-L52-2*N52)-0.00002*SIN(3*M52+L52)+0.00002*SIN(4*M52)</f>
        <v>-0.50490993591024191</v>
      </c>
      <c r="V52" s="3">
        <f t="shared" si="55"/>
        <v>-3.2547457413257993E-4</v>
      </c>
      <c r="W52" s="3">
        <f t="shared" si="56"/>
        <v>2460246.350918117</v>
      </c>
      <c r="X52" s="3">
        <f t="shared" si="57"/>
        <v>5.7840409667752475</v>
      </c>
      <c r="Y52" s="3">
        <f t="shared" si="58"/>
        <v>4.4800251725590163</v>
      </c>
      <c r="Z52" s="3">
        <f t="shared" si="59"/>
        <v>141.38581403103774</v>
      </c>
      <c r="AA52" s="3">
        <f t="shared" si="60"/>
        <v>193.25847148081351</v>
      </c>
      <c r="AB52" s="3">
        <f t="shared" si="61"/>
        <v>95.057566748985863</v>
      </c>
      <c r="AC52" s="3">
        <f t="shared" si="62"/>
        <v>276.45492729326298</v>
      </c>
      <c r="AD52" s="3">
        <f t="shared" si="63"/>
        <v>16.227444358056204</v>
      </c>
      <c r="AE52" s="3">
        <f t="shared" si="64"/>
        <v>40.25968910106738</v>
      </c>
      <c r="AF52" s="3">
        <f t="shared" si="65"/>
        <v>140.7251101917374</v>
      </c>
      <c r="AG52" s="3">
        <f t="shared" si="66"/>
        <v>4.2423223850982001</v>
      </c>
      <c r="AH52" s="3">
        <f t="shared" si="67"/>
        <v>14.564940430026903</v>
      </c>
      <c r="AI52" s="3">
        <f t="shared" si="68"/>
        <v>127.20092849659049</v>
      </c>
      <c r="AJ52" s="3">
        <f t="shared" si="69"/>
        <v>135.31830304760445</v>
      </c>
      <c r="AK52" s="3">
        <f t="shared" si="70"/>
        <v>24.252162424681305</v>
      </c>
    </row>
    <row r="53" spans="1:37">
      <c r="A53" s="3" t="s">
        <v>55</v>
      </c>
      <c r="B53" s="9" t="s">
        <v>56</v>
      </c>
      <c r="C53" s="35">
        <f t="shared" si="47"/>
        <v>45235.359760646708</v>
      </c>
      <c r="D53" s="17"/>
      <c r="E53" s="17"/>
      <c r="F53" s="3">
        <v>50</v>
      </c>
      <c r="G53" s="3" t="s">
        <v>50</v>
      </c>
      <c r="H53" s="12">
        <f t="shared" si="71"/>
        <v>10.75</v>
      </c>
      <c r="I53" s="12">
        <f t="shared" si="72"/>
        <v>294.75</v>
      </c>
      <c r="J53" s="3">
        <f t="shared" si="48"/>
        <v>0.23831148660519086</v>
      </c>
      <c r="K53" s="3">
        <f t="shared" si="49"/>
        <v>2460254.2388008204</v>
      </c>
      <c r="L53" s="3">
        <f t="shared" si="50"/>
        <v>149.77293888075232</v>
      </c>
      <c r="M53" s="3">
        <f t="shared" si="51"/>
        <v>1988.2983974080685</v>
      </c>
      <c r="N53" s="3">
        <f t="shared" si="52"/>
        <v>2012.5538454966133</v>
      </c>
      <c r="O53" s="3">
        <f t="shared" si="53"/>
        <v>-5.8667899689726415</v>
      </c>
      <c r="P53" s="3">
        <f t="shared" si="54"/>
        <v>0.99939998803620289</v>
      </c>
      <c r="Q53" s="3" t="s">
        <v>55</v>
      </c>
      <c r="R53" s="3">
        <f>-(0.00306-0.00038*P53*COS(L53)+0.00026*COS(M53)-0.00002*COS(M53-L53)+0.00002*COS(M53+L53)+0.00002*COS(2*N53))</f>
        <v>-2.6125087446104683E-3</v>
      </c>
      <c r="U53" s="3">
        <f>-0.62801*SIN(M53)+0.17172*P53*SIN(L53)-0.01183*P53*SIN(M53+L53)+0.00862*SIN(2*M53)+0.00804*SIN(2*N53)+0.00454*P53*SIN(M53-L53)+0.00204*P53^2*SIN(2*L53)-0.0018*SIN(M53-2*N53)-0.0007*SIN(M53+2*N53)-0.0004*SIN(3*M53)-0.00034*P53*SIN(2*M53-L53)+0.00032*P53*SIN(L53+2*N53)+0.00032*P53*SIN(L53-2*N53)-0.00028*P53^2*SIN(M53+2*L53)+0.00027*P53*SIN(2*M53+L53)-0.00017*SIN(O53)-0.00005*SIN(M53-L53-2*N53)+0.00004*SIN(2*M53+2*N53)-0.00004*SIN(M53+L53+2*N53)+0.00004*SIN(M53-2*L53)+0.00003*SIN(M53+L53-2*N53)+0.00003*SIN(3*L53)+0.00002*SIN(2*M53-2*N53)+0.00002*SIN(M53-L53+2*N53)-0.00002*SIN(3*M53+L53)</f>
        <v>-0.37609552901397425</v>
      </c>
      <c r="V53" s="3">
        <f t="shared" si="55"/>
        <v>-3.321355043347182E-4</v>
      </c>
      <c r="W53" s="3">
        <f t="shared" si="56"/>
        <v>2460253.8597606467</v>
      </c>
      <c r="X53" s="3">
        <f t="shared" si="57"/>
        <v>5.7845096071686095</v>
      </c>
      <c r="Y53" s="3">
        <f t="shared" si="58"/>
        <v>4.4800963863558216</v>
      </c>
      <c r="Z53" s="3">
        <f t="shared" si="59"/>
        <v>141.5021048216793</v>
      </c>
      <c r="AA53" s="3">
        <f t="shared" si="60"/>
        <v>193.41735088829103</v>
      </c>
      <c r="AB53" s="3">
        <f t="shared" si="61"/>
        <v>95.13700645272462</v>
      </c>
      <c r="AC53" s="3">
        <f t="shared" si="62"/>
        <v>276.68750887018274</v>
      </c>
      <c r="AD53" s="3">
        <f t="shared" si="63"/>
        <v>16.238150783646592</v>
      </c>
      <c r="AE53" s="3">
        <f t="shared" si="64"/>
        <v>40.291571292312945</v>
      </c>
      <c r="AF53" s="3">
        <f t="shared" si="65"/>
        <v>140.84405978641817</v>
      </c>
      <c r="AG53" s="3">
        <f t="shared" si="66"/>
        <v>4.2428539425751879</v>
      </c>
      <c r="AH53" s="3">
        <f t="shared" si="67"/>
        <v>14.572988051578063</v>
      </c>
      <c r="AI53" s="3">
        <f t="shared" si="68"/>
        <v>127.30651286164166</v>
      </c>
      <c r="AJ53" s="3">
        <f t="shared" si="69"/>
        <v>135.42962494258879</v>
      </c>
      <c r="AK53" s="3">
        <f t="shared" si="70"/>
        <v>24.267837741565593</v>
      </c>
    </row>
    <row r="54" spans="1:37">
      <c r="A54" s="3" t="s">
        <v>48</v>
      </c>
      <c r="B54" s="9" t="s">
        <v>49</v>
      </c>
      <c r="C54" s="35">
        <f t="shared" si="47"/>
        <v>45243.39488308318</v>
      </c>
      <c r="D54" s="16"/>
      <c r="E54" s="17"/>
      <c r="F54" s="3">
        <v>1</v>
      </c>
      <c r="G54" s="3">
        <f>C54-C50</f>
        <v>29.647343050222844</v>
      </c>
      <c r="H54" s="12">
        <f t="shared" si="71"/>
        <v>11</v>
      </c>
      <c r="I54" s="12">
        <f t="shared" si="72"/>
        <v>295</v>
      </c>
      <c r="J54" s="3">
        <f t="shared" si="48"/>
        <v>0.23851361678891028</v>
      </c>
      <c r="K54" s="3">
        <f t="shared" si="49"/>
        <v>2460261.6214481136</v>
      </c>
      <c r="L54" s="3">
        <f t="shared" si="50"/>
        <v>149.89993495676751</v>
      </c>
      <c r="M54" s="3">
        <f t="shared" si="51"/>
        <v>1989.9818413837961</v>
      </c>
      <c r="N54" s="3">
        <f t="shared" si="52"/>
        <v>2014.2584671346717</v>
      </c>
      <c r="O54" s="3">
        <f t="shared" si="53"/>
        <v>-5.8736131373425788</v>
      </c>
      <c r="P54" s="3">
        <f t="shared" si="54"/>
        <v>0.99939947876344315</v>
      </c>
      <c r="Q54" s="3" t="s">
        <v>48</v>
      </c>
      <c r="S54" s="3">
        <f>-0.4072*SIN(M54)+0.17241*P54*SIN(L54)+0.01608*SIN(2*M54)+0.01039*SIN(2*N54)+0.00739*P54*SIN(M54-L54)-0.00514*P54*SIN(M54+L54)+0.00208*P54^2*SIN(2*L54)-0.00111*SIN(M54-2*N54)-0.00057*SIN(M54+2*N54)+0.00056*P54*SIN(2*M54+L54)-0.00042*SIN(3*M54)+0.00042*P54*SIN(L54+2*N54)+0.00038*P54*SIN(L54-2*N54)-0.00024*P54*SIN(2*M54-L54)-0.00017*SIN(O54)-0.00007*SIN(M54+2*L54)+0.00004*SIN(2*M54-2*N54)+0.00004*SIN(3*L54)+0.00003*SIN(M54+L54-2*N54)+0.00003*SIN(2*M54+2*N54)-0.00003*SIN(M54+L54+2*N54)+0.00003*SIN(M54-L54+2*N54)-0.00002*SIN(M54-L54-2*N54)-0.00002*SIN(3*M54+L54)+0.00002*SIN(4*M54)</f>
        <v>0.27377228949611676</v>
      </c>
      <c r="V54" s="3">
        <f t="shared" si="55"/>
        <v>-3.3731980418198851E-4</v>
      </c>
      <c r="W54" s="3">
        <f t="shared" si="56"/>
        <v>2460261.8948830832</v>
      </c>
      <c r="X54" s="3">
        <f t="shared" si="57"/>
        <v>5.7849782475488887</v>
      </c>
      <c r="Y54" s="3">
        <f t="shared" si="58"/>
        <v>4.4801676001526252</v>
      </c>
      <c r="Z54" s="3">
        <f t="shared" si="59"/>
        <v>141.61839561232085</v>
      </c>
      <c r="AA54" s="3">
        <f t="shared" si="60"/>
        <v>193.57623029576854</v>
      </c>
      <c r="AB54" s="3">
        <f t="shared" si="61"/>
        <v>95.216446156463363</v>
      </c>
      <c r="AC54" s="3">
        <f t="shared" si="62"/>
        <v>276.9200904471025</v>
      </c>
      <c r="AD54" s="3">
        <f t="shared" si="63"/>
        <v>16.248857209236977</v>
      </c>
      <c r="AE54" s="3">
        <f t="shared" si="64"/>
        <v>40.323453483558517</v>
      </c>
      <c r="AF54" s="3">
        <f t="shared" si="65"/>
        <v>140.96300938109894</v>
      </c>
      <c r="AG54" s="3">
        <f t="shared" si="66"/>
        <v>4.2433855000521756</v>
      </c>
      <c r="AH54" s="3">
        <f t="shared" si="67"/>
        <v>14.581035673129223</v>
      </c>
      <c r="AI54" s="3">
        <f t="shared" si="68"/>
        <v>127.41209722669282</v>
      </c>
      <c r="AJ54" s="3">
        <f t="shared" si="69"/>
        <v>135.5409468375731</v>
      </c>
      <c r="AK54" s="3">
        <f t="shared" si="70"/>
        <v>24.283513058449884</v>
      </c>
    </row>
    <row r="55" spans="1:37">
      <c r="A55" s="3" t="s">
        <v>51</v>
      </c>
      <c r="B55" s="9" t="s">
        <v>52</v>
      </c>
      <c r="C55" s="35">
        <f t="shared" si="47"/>
        <v>45250.452201708686</v>
      </c>
      <c r="D55" s="17"/>
      <c r="E55" s="17"/>
      <c r="F55" s="3">
        <v>50</v>
      </c>
      <c r="G55" s="3" t="s">
        <v>50</v>
      </c>
      <c r="H55" s="12">
        <f t="shared" si="71"/>
        <v>11.25</v>
      </c>
      <c r="I55" s="12">
        <f t="shared" si="72"/>
        <v>295.25</v>
      </c>
      <c r="J55" s="3">
        <f t="shared" si="48"/>
        <v>0.23871574697262971</v>
      </c>
      <c r="K55" s="3">
        <f t="shared" si="49"/>
        <v>2460269.0040954067</v>
      </c>
      <c r="L55" s="3">
        <f t="shared" si="50"/>
        <v>150.02693103278273</v>
      </c>
      <c r="M55" s="3">
        <f t="shared" si="51"/>
        <v>1991.665285359539</v>
      </c>
      <c r="N55" s="3">
        <f t="shared" si="52"/>
        <v>2015.9630887727278</v>
      </c>
      <c r="O55" s="3">
        <f t="shared" si="53"/>
        <v>-5.8804363057095621</v>
      </c>
      <c r="P55" s="3">
        <f t="shared" si="54"/>
        <v>0.99939896949007867</v>
      </c>
      <c r="Q55" s="3" t="s">
        <v>51</v>
      </c>
      <c r="R55" s="3">
        <f>0.00306-0.00038*P55*COS(L55)+0.00026*COS(M55)-0.00002*COS(M55-L55)+0.00002*COS(M55+L55)+0.00002*COS(2*N55)</f>
        <v>3.0368480466571829E-3</v>
      </c>
      <c r="U55" s="3">
        <f>-0.62801*SIN(M55)+0.17172*P55*SIN(L55)-0.01183*P55*SIN(M55+L55)+0.00862*SIN(2*M55)+0.00804*SIN(2*N55)+0.00454*P55*SIN(M55-L55)+0.00204*P55^2*SIN(2*L55)-0.0018*SIN(M55-2*N55)-0.0007*SIN(M55+2*N55)-0.0004*SIN(3*M55)-0.00034*P55*SIN(2*M55-L55)+0.00032*P55*SIN(L55+2*N55)+0.00032*P55*SIN(L55-2*N55)-0.00028*P55^2*SIN(M55+2*L55)+0.00027*P55*SIN(2*M55+L55)-0.00017*SIN(O55)-0.00005*SIN(M55-L55-2*N55)+0.00004*SIN(2*M55+2*N55)-0.00004*SIN(M55+L55+2*N55)+0.00004*SIN(M55-2*L55)+0.00003*SIN(M55+L55-2*N55)+0.00003*SIN(3*L55)+0.00002*SIN(2*M55-2*N55)+0.00002*SIN(M55-L55+2*N55)-0.00002*SIN(3*M55+L55)</f>
        <v>-5.4588987909240008E-2</v>
      </c>
      <c r="V55" s="3">
        <f t="shared" si="55"/>
        <v>-3.4155859208678498E-4</v>
      </c>
      <c r="W55" s="3">
        <f t="shared" si="56"/>
        <v>2460268.9522017087</v>
      </c>
      <c r="X55" s="3">
        <f t="shared" si="57"/>
        <v>5.7854468879160867</v>
      </c>
      <c r="Y55" s="3">
        <f t="shared" si="58"/>
        <v>4.4802388139494296</v>
      </c>
      <c r="Z55" s="3">
        <f t="shared" si="59"/>
        <v>141.73468640296238</v>
      </c>
      <c r="AA55" s="3">
        <f t="shared" si="60"/>
        <v>193.73510970324602</v>
      </c>
      <c r="AB55" s="3">
        <f t="shared" si="61"/>
        <v>95.295885860202119</v>
      </c>
      <c r="AC55" s="3">
        <f t="shared" si="62"/>
        <v>277.15267202402225</v>
      </c>
      <c r="AD55" s="3">
        <f t="shared" si="63"/>
        <v>16.259563634827362</v>
      </c>
      <c r="AE55" s="3">
        <f t="shared" si="64"/>
        <v>40.355335674804081</v>
      </c>
      <c r="AF55" s="3">
        <f t="shared" si="65"/>
        <v>141.08195897577974</v>
      </c>
      <c r="AG55" s="3">
        <f t="shared" si="66"/>
        <v>4.2439170575291625</v>
      </c>
      <c r="AH55" s="3">
        <f t="shared" si="67"/>
        <v>14.589083294680385</v>
      </c>
      <c r="AI55" s="3">
        <f t="shared" si="68"/>
        <v>127.51768159174398</v>
      </c>
      <c r="AJ55" s="3">
        <f t="shared" si="69"/>
        <v>135.65226873255739</v>
      </c>
      <c r="AK55" s="3">
        <f t="shared" si="70"/>
        <v>24.299188375334172</v>
      </c>
    </row>
    <row r="56" spans="1:37">
      <c r="A56" s="3" t="s">
        <v>53</v>
      </c>
      <c r="B56" s="9" t="s">
        <v>54</v>
      </c>
      <c r="C56" s="35">
        <f t="shared" si="47"/>
        <v>45257.387175618671</v>
      </c>
      <c r="D56" s="18"/>
      <c r="E56" s="17"/>
      <c r="F56" s="3">
        <v>99</v>
      </c>
      <c r="G56" s="3" t="s">
        <v>50</v>
      </c>
      <c r="H56" s="12">
        <f t="shared" si="71"/>
        <v>11.5</v>
      </c>
      <c r="I56" s="12">
        <f t="shared" si="72"/>
        <v>295.5</v>
      </c>
      <c r="J56" s="3">
        <f t="shared" si="48"/>
        <v>0.2389178771563491</v>
      </c>
      <c r="K56" s="3">
        <f t="shared" si="49"/>
        <v>2460276.3867426994</v>
      </c>
      <c r="L56" s="3">
        <f t="shared" si="50"/>
        <v>150.15392710879789</v>
      </c>
      <c r="M56" s="3">
        <f t="shared" si="51"/>
        <v>1993.3487293352975</v>
      </c>
      <c r="N56" s="3">
        <f t="shared" si="52"/>
        <v>2017.6677104107819</v>
      </c>
      <c r="O56" s="3">
        <f t="shared" si="53"/>
        <v>-5.8872594740735922</v>
      </c>
      <c r="P56" s="3">
        <f t="shared" si="54"/>
        <v>0.99939846021610967</v>
      </c>
      <c r="Q56" s="3" t="s">
        <v>53</v>
      </c>
      <c r="T56" s="3">
        <f>-0.40614*SIN(M56)+0.17302*P56*SIN(L56)+0.01614*SIN(2*M56)+0.01043*SIN(2*N56)+0.00734*P56*SIN(M56-L56)-0.00515*P56*SIN(M56+L56)+0.00209*P56^2*SIN(2*L56)-0.00111*SIN(M56-2*N56)-0.00057*SIN(M56+2*N56)+0.00056*P56*SIN(2*M56+L56)-0.00042*SIN(3*M56)+0.00042*P56*SIN(L56+2*N56)+0.00038*P56*SIN(L56-2*N56)-0.00024*P56*SIN(2*M56-L56)-0.00017*SIN(O56)-0.00007*SIN(M56+2*L56)+0.00004*SIN(2*M56-2*N56)+0.00004*SIN(3*L56)+0.00003*SIN(M56+L56-2*N56)+0.00003*SIN(2*M56+2*N56)-0.00003*SIN(M56+L56+2*N56)+0.00003*SIN(M56-L56+2*N56)-0.00002*SIN(M56-L56-2*N56)-0.00002*SIN(3*M56+L56)+0.00002*SIN(4*M56)</f>
        <v>-0.49922170529904508</v>
      </c>
      <c r="V56" s="3">
        <f t="shared" si="55"/>
        <v>-3.4537553788520792E-4</v>
      </c>
      <c r="W56" s="3">
        <f t="shared" si="56"/>
        <v>2460275.8871756187</v>
      </c>
      <c r="X56" s="3">
        <f t="shared" si="57"/>
        <v>5.7859155282702002</v>
      </c>
      <c r="Y56" s="3">
        <f t="shared" si="58"/>
        <v>4.480310027746234</v>
      </c>
      <c r="Z56" s="3">
        <f t="shared" si="59"/>
        <v>141.85097719360394</v>
      </c>
      <c r="AA56" s="3">
        <f t="shared" si="60"/>
        <v>193.89398911072354</v>
      </c>
      <c r="AB56" s="3">
        <f t="shared" si="61"/>
        <v>95.375325563940862</v>
      </c>
      <c r="AC56" s="3">
        <f t="shared" si="62"/>
        <v>277.38525360094206</v>
      </c>
      <c r="AD56" s="3">
        <f t="shared" si="63"/>
        <v>16.270270060417751</v>
      </c>
      <c r="AE56" s="3">
        <f t="shared" si="64"/>
        <v>40.387217866049653</v>
      </c>
      <c r="AF56" s="3">
        <f t="shared" si="65"/>
        <v>141.20090857046051</v>
      </c>
      <c r="AG56" s="3">
        <f t="shared" si="66"/>
        <v>4.2444486150061493</v>
      </c>
      <c r="AH56" s="3">
        <f t="shared" si="67"/>
        <v>14.597130916231547</v>
      </c>
      <c r="AI56" s="3">
        <f t="shared" si="68"/>
        <v>127.62326595679515</v>
      </c>
      <c r="AJ56" s="3">
        <f t="shared" si="69"/>
        <v>135.7635906275417</v>
      </c>
      <c r="AK56" s="3">
        <f t="shared" si="70"/>
        <v>24.314863692218466</v>
      </c>
    </row>
    <row r="57" spans="1:37">
      <c r="A57" s="3" t="s">
        <v>55</v>
      </c>
      <c r="B57" s="9" t="s">
        <v>56</v>
      </c>
      <c r="C57" s="35">
        <f t="shared" si="47"/>
        <v>45265.243424935266</v>
      </c>
      <c r="D57" s="17"/>
      <c r="E57" s="17"/>
      <c r="F57" s="3">
        <v>50</v>
      </c>
      <c r="G57" s="3" t="s">
        <v>50</v>
      </c>
      <c r="H57" s="12">
        <f t="shared" si="71"/>
        <v>11.75</v>
      </c>
      <c r="I57" s="12">
        <f t="shared" si="72"/>
        <v>295.75</v>
      </c>
      <c r="J57" s="3">
        <f t="shared" si="48"/>
        <v>0.23912000734006852</v>
      </c>
      <c r="K57" s="3">
        <f t="shared" si="49"/>
        <v>2460283.7693899921</v>
      </c>
      <c r="L57" s="3">
        <f t="shared" si="50"/>
        <v>150.28092318481305</v>
      </c>
      <c r="M57" s="3">
        <f t="shared" si="51"/>
        <v>1995.0321733110707</v>
      </c>
      <c r="N57" s="3">
        <f t="shared" si="52"/>
        <v>2019.3723320488332</v>
      </c>
      <c r="O57" s="3">
        <f t="shared" si="53"/>
        <v>-5.8940826424346682</v>
      </c>
      <c r="P57" s="3">
        <f t="shared" si="54"/>
        <v>0.99939795094153594</v>
      </c>
      <c r="Q57" s="3" t="s">
        <v>55</v>
      </c>
      <c r="R57" s="3">
        <f>-(0.00306-0.00038*P57*COS(L57)+0.00026*COS(M57)-0.00002*COS(M57-L57)+0.00002*COS(M57+L57)+0.00002*COS(2*N57))</f>
        <v>-2.4736119195079521E-3</v>
      </c>
      <c r="U57" s="3">
        <f>-0.62801*SIN(M57)+0.17172*P57*SIN(L57)-0.01183*P57*SIN(M57+L57)+0.00862*SIN(2*M57)+0.00804*SIN(2*N57)+0.00454*P57*SIN(M57-L57)+0.00204*P57^2*SIN(2*L57)-0.0018*SIN(M57-2*N57)-0.0007*SIN(M57+2*N57)-0.0004*SIN(3*M57)-0.00034*P57*SIN(2*M57-L57)+0.00032*P57*SIN(L57+2*N57)+0.00032*P57*SIN(L57-2*N57)-0.00028*P57^2*SIN(M57+2*L57)+0.00027*P57*SIN(2*M57+L57)-0.00017*SIN(O57)-0.00005*SIN(M57-L57-2*N57)+0.00004*SIN(2*M57+2*N57)-0.00004*SIN(M57+L57+2*N57)+0.00004*SIN(M57-2*L57)+0.00003*SIN(M57+L57-2*N57)+0.00003*SIN(3*L57)+0.00002*SIN(2*M57-2*N57)+0.00002*SIN(M57-L57+2*N57)-0.00002*SIN(3*M57+L57)</f>
        <v>-2.3142193813952616E-2</v>
      </c>
      <c r="V57" s="3">
        <f t="shared" si="55"/>
        <v>-3.4925119886244763E-4</v>
      </c>
      <c r="W57" s="3">
        <f t="shared" si="56"/>
        <v>2460283.7434249353</v>
      </c>
      <c r="X57" s="3">
        <f t="shared" si="57"/>
        <v>5.7863841686112334</v>
      </c>
      <c r="Y57" s="3">
        <f t="shared" si="58"/>
        <v>4.4803812415430393</v>
      </c>
      <c r="Z57" s="3">
        <f t="shared" si="59"/>
        <v>141.96726798424547</v>
      </c>
      <c r="AA57" s="3">
        <f t="shared" si="60"/>
        <v>194.05286851820105</v>
      </c>
      <c r="AB57" s="3">
        <f t="shared" si="61"/>
        <v>95.454765267679633</v>
      </c>
      <c r="AC57" s="3">
        <f t="shared" si="62"/>
        <v>277.61783517786182</v>
      </c>
      <c r="AD57" s="3">
        <f t="shared" si="63"/>
        <v>16.280976486008136</v>
      </c>
      <c r="AE57" s="3">
        <f t="shared" si="64"/>
        <v>40.419100057295225</v>
      </c>
      <c r="AF57" s="3">
        <f t="shared" si="65"/>
        <v>141.31985816514126</v>
      </c>
      <c r="AG57" s="3">
        <f t="shared" si="66"/>
        <v>4.2449801724831371</v>
      </c>
      <c r="AH57" s="3">
        <f t="shared" si="67"/>
        <v>14.605178537782708</v>
      </c>
      <c r="AI57" s="3">
        <f t="shared" si="68"/>
        <v>127.72885032184629</v>
      </c>
      <c r="AJ57" s="3">
        <f t="shared" si="69"/>
        <v>135.87491252252602</v>
      </c>
      <c r="AK57" s="3">
        <f t="shared" si="70"/>
        <v>24.330539009102758</v>
      </c>
    </row>
    <row r="58" spans="1:37">
      <c r="A58" s="3" t="s">
        <v>48</v>
      </c>
      <c r="B58" s="9" t="s">
        <v>49</v>
      </c>
      <c r="C58" s="35">
        <f t="shared" si="47"/>
        <v>45272.981424284633</v>
      </c>
      <c r="D58" s="16"/>
      <c r="E58" s="17"/>
      <c r="F58" s="3">
        <v>1</v>
      </c>
      <c r="G58" s="3">
        <f>C58-C54</f>
        <v>29.586541201453656</v>
      </c>
      <c r="H58" s="12">
        <f t="shared" si="71"/>
        <v>12</v>
      </c>
      <c r="I58" s="12">
        <f t="shared" si="72"/>
        <v>296</v>
      </c>
      <c r="J58" s="3">
        <f t="shared" si="48"/>
        <v>0.23932213752378795</v>
      </c>
      <c r="K58" s="3">
        <f t="shared" si="49"/>
        <v>2460291.1520372853</v>
      </c>
      <c r="L58" s="3">
        <f t="shared" si="50"/>
        <v>150.40791926082815</v>
      </c>
      <c r="M58" s="3">
        <f t="shared" si="51"/>
        <v>1996.7156172868595</v>
      </c>
      <c r="N58" s="3">
        <f t="shared" si="52"/>
        <v>2021.0769536868825</v>
      </c>
      <c r="O58" s="3">
        <f t="shared" si="53"/>
        <v>-5.900905810792791</v>
      </c>
      <c r="P58" s="3">
        <f t="shared" si="54"/>
        <v>0.99939744166635736</v>
      </c>
      <c r="Q58" s="3" t="s">
        <v>48</v>
      </c>
      <c r="S58" s="3">
        <f>-0.4072*SIN(M58)+0.17241*P58*SIN(L58)+0.01608*SIN(2*M58)+0.01039*SIN(2*N58)+0.00739*P58*SIN(M58-L58)-0.00514*P58*SIN(M58+L58)+0.00208*P58^2*SIN(2*L58)-0.00111*SIN(M58-2*N58)-0.00057*SIN(M58+2*N58)+0.00056*P58*SIN(2*M58+L58)-0.00042*SIN(3*M58)+0.00042*P58*SIN(L58+2*N58)+0.00038*P58*SIN(L58-2*N58)-0.00024*P58*SIN(2*M58-L58)-0.00017*SIN(O58)-0.00007*SIN(M58+2*L58)+0.00004*SIN(2*M58-2*N58)+0.00004*SIN(3*L58)+0.00003*SIN(M58+L58-2*N58)+0.00003*SIN(2*M58+2*N58)-0.00003*SIN(M58+L58+2*N58)+0.00003*SIN(M58-L58+2*N58)-0.00002*SIN(M58-L58-2*N58)-0.00002*SIN(3*M58+L58)+0.00002*SIN(4*M58)</f>
        <v>0.32974059103712355</v>
      </c>
      <c r="V58" s="3">
        <f t="shared" si="55"/>
        <v>-3.5359172896840387E-4</v>
      </c>
      <c r="W58" s="3">
        <f t="shared" si="56"/>
        <v>2460291.4814242846</v>
      </c>
      <c r="X58" s="3">
        <f t="shared" si="57"/>
        <v>5.7868528089391837</v>
      </c>
      <c r="Y58" s="3">
        <f t="shared" si="58"/>
        <v>4.4804524553398428</v>
      </c>
      <c r="Z58" s="3">
        <f t="shared" si="59"/>
        <v>142.08355877488702</v>
      </c>
      <c r="AA58" s="3">
        <f t="shared" si="60"/>
        <v>194.21174792567851</v>
      </c>
      <c r="AB58" s="3">
        <f t="shared" si="61"/>
        <v>95.534204971418376</v>
      </c>
      <c r="AC58" s="3">
        <f t="shared" si="62"/>
        <v>277.85041675478158</v>
      </c>
      <c r="AD58" s="3">
        <f t="shared" si="63"/>
        <v>16.291682911598521</v>
      </c>
      <c r="AE58" s="3">
        <f t="shared" si="64"/>
        <v>40.450982248540797</v>
      </c>
      <c r="AF58" s="3">
        <f t="shared" si="65"/>
        <v>141.43880775982203</v>
      </c>
      <c r="AG58" s="3">
        <f t="shared" si="66"/>
        <v>4.2455117299601248</v>
      </c>
      <c r="AH58" s="3">
        <f t="shared" si="67"/>
        <v>14.613226159333868</v>
      </c>
      <c r="AI58" s="3">
        <f t="shared" si="68"/>
        <v>127.83443468689745</v>
      </c>
      <c r="AJ58" s="3">
        <f t="shared" si="69"/>
        <v>135.98623441751036</v>
      </c>
      <c r="AK58" s="3">
        <f t="shared" si="70"/>
        <v>24.346214325987049</v>
      </c>
    </row>
    <row r="59" spans="1:37">
      <c r="A59" s="3" t="s">
        <v>51</v>
      </c>
      <c r="B59" s="9" t="s">
        <v>52</v>
      </c>
      <c r="C59" s="35">
        <f t="shared" si="47"/>
        <v>45279.778145986143</v>
      </c>
      <c r="D59" s="17"/>
      <c r="E59" s="17"/>
      <c r="F59" s="3">
        <v>50</v>
      </c>
      <c r="G59" s="3" t="s">
        <v>50</v>
      </c>
      <c r="H59" s="12">
        <f t="shared" si="71"/>
        <v>12.25</v>
      </c>
      <c r="I59" s="12">
        <f t="shared" si="72"/>
        <v>296.25</v>
      </c>
      <c r="J59" s="3">
        <f t="shared" si="48"/>
        <v>0.23952426770750734</v>
      </c>
      <c r="K59" s="3">
        <f t="shared" si="49"/>
        <v>2460298.5346845784</v>
      </c>
      <c r="L59" s="3">
        <f t="shared" si="50"/>
        <v>150.53491533684323</v>
      </c>
      <c r="M59" s="3">
        <f t="shared" si="51"/>
        <v>1998.3990612626637</v>
      </c>
      <c r="N59" s="3">
        <f t="shared" si="52"/>
        <v>2022.781575324929</v>
      </c>
      <c r="O59" s="3">
        <f t="shared" si="53"/>
        <v>-5.9077289791479632</v>
      </c>
      <c r="P59" s="3">
        <f t="shared" si="54"/>
        <v>0.99939693239057426</v>
      </c>
      <c r="Q59" s="3" t="s">
        <v>51</v>
      </c>
      <c r="R59" s="3">
        <f>0.00306-0.00038*P59*COS(L59)+0.00026*COS(M59)-0.00002*COS(M59-L59)+0.00002*COS(M59+L59)+0.00002*COS(2*N59)</f>
        <v>2.9550480742166832E-3</v>
      </c>
      <c r="U59" s="3">
        <f>-0.62801*SIN(M59)+0.17172*P59*SIN(L59)-0.01183*P59*SIN(M59+L59)+0.00862*SIN(2*M59)+0.00804*SIN(2*N59)+0.00454*P59*SIN(M59-L59)+0.00204*P59^2*SIN(2*L59)-0.0018*SIN(M59-2*N59)-0.0007*SIN(M59+2*N59)-0.0004*SIN(3*M59)-0.00034*P59*SIN(2*M59-L59)+0.00032*P59*SIN(L59+2*N59)+0.00032*P59*SIN(L59-2*N59)-0.00028*P59^2*SIN(M59+2*L59)+0.00027*P59*SIN(2*M59+L59)-0.00017*SIN(O59)-0.00005*SIN(M59-L59-2*N59)+0.00004*SIN(2*M59+2*N59)-0.00004*SIN(M59+L59+2*N59)+0.00004*SIN(M59-2*L59)+0.00003*SIN(M59+L59-2*N59)+0.00003*SIN(3*L59)+0.00002*SIN(2*M59-2*N59)+0.00002*SIN(M59-L59+2*N59)-0.00002*SIN(3*M59+L59)</f>
        <v>-0.25913493640064905</v>
      </c>
      <c r="V59" s="3">
        <f t="shared" si="55"/>
        <v>-3.5870362952530882E-4</v>
      </c>
      <c r="W59" s="3">
        <f t="shared" si="56"/>
        <v>2460298.2781459861</v>
      </c>
      <c r="X59" s="3">
        <f t="shared" si="57"/>
        <v>5.787321449254053</v>
      </c>
      <c r="Y59" s="3">
        <f t="shared" si="58"/>
        <v>4.4805236691366481</v>
      </c>
      <c r="Z59" s="3">
        <f t="shared" si="59"/>
        <v>142.19984956552858</v>
      </c>
      <c r="AA59" s="3">
        <f t="shared" si="60"/>
        <v>194.37062733315602</v>
      </c>
      <c r="AB59" s="3">
        <f t="shared" si="61"/>
        <v>95.613644675157104</v>
      </c>
      <c r="AC59" s="3">
        <f t="shared" si="62"/>
        <v>278.08299833170133</v>
      </c>
      <c r="AD59" s="3">
        <f t="shared" si="63"/>
        <v>16.302389337188909</v>
      </c>
      <c r="AE59" s="3">
        <f t="shared" si="64"/>
        <v>40.482864439786354</v>
      </c>
      <c r="AF59" s="3">
        <f t="shared" si="65"/>
        <v>141.55775735450283</v>
      </c>
      <c r="AG59" s="3">
        <f t="shared" si="66"/>
        <v>4.2460432874371126</v>
      </c>
      <c r="AH59" s="3">
        <f t="shared" si="67"/>
        <v>14.621273780885023</v>
      </c>
      <c r="AI59" s="3">
        <f t="shared" si="68"/>
        <v>127.94001905194862</v>
      </c>
      <c r="AJ59" s="3">
        <f t="shared" si="69"/>
        <v>136.0975563124947</v>
      </c>
      <c r="AK59" s="3">
        <f t="shared" si="70"/>
        <v>24.361889642871336</v>
      </c>
    </row>
    <row r="60" spans="1:37">
      <c r="A60" s="3" t="s">
        <v>53</v>
      </c>
      <c r="B60" s="9" t="s">
        <v>54</v>
      </c>
      <c r="C60" s="35">
        <f t="shared" si="47"/>
        <v>45287.023924588691</v>
      </c>
      <c r="D60" s="18"/>
      <c r="E60" s="17"/>
      <c r="F60" s="3">
        <v>99</v>
      </c>
      <c r="G60" s="3" t="s">
        <v>50</v>
      </c>
      <c r="H60" s="12">
        <f t="shared" si="71"/>
        <v>12.5</v>
      </c>
      <c r="I60" s="12">
        <f t="shared" si="72"/>
        <v>296.5</v>
      </c>
      <c r="J60" s="3">
        <f t="shared" si="48"/>
        <v>0.23972639789122677</v>
      </c>
      <c r="K60" s="3">
        <f t="shared" si="49"/>
        <v>2460305.9173318711</v>
      </c>
      <c r="L60" s="3">
        <f t="shared" si="50"/>
        <v>150.66191141285827</v>
      </c>
      <c r="M60" s="3">
        <f t="shared" si="51"/>
        <v>2000.0825052384835</v>
      </c>
      <c r="N60" s="3">
        <f t="shared" si="52"/>
        <v>2024.4861969629735</v>
      </c>
      <c r="O60" s="3">
        <f t="shared" si="53"/>
        <v>-5.9145521475001805</v>
      </c>
      <c r="P60" s="3">
        <f t="shared" si="54"/>
        <v>0.99939642311418642</v>
      </c>
      <c r="Q60" s="3" t="s">
        <v>53</v>
      </c>
      <c r="T60" s="3">
        <f>-0.40614*SIN(M60)+0.17302*P60*SIN(L60)+0.01614*SIN(2*M60)+0.01043*SIN(2*N60)+0.00734*P60*SIN(M60-L60)-0.00515*P60*SIN(M60+L60)+0.00209*P60^2*SIN(2*L60)-0.00111*SIN(M60-2*N60)-0.00057*SIN(M60+2*N60)+0.00056*P60*SIN(2*M60+L60)-0.00042*SIN(3*M60)+0.00042*P60*SIN(L60+2*N60)+0.00038*P60*SIN(L60-2*N60)-0.00024*P60*SIN(2*M60-L60)-0.00017*SIN(O60)-0.00007*SIN(M60+2*L60)+0.00004*SIN(2*M60-2*N60)+0.00004*SIN(3*L60)+0.00003*SIN(M60+L60-2*N60)+0.00003*SIN(2*M60+2*N60)-0.00003*SIN(M60+L60+2*N60)+0.00003*SIN(M60-L60+2*N60)-0.00002*SIN(M60-L60-2*N60)-0.00002*SIN(3*M60+L60)+0.00002*SIN(4*M60)</f>
        <v>-0.39304250675788444</v>
      </c>
      <c r="V60" s="3">
        <f t="shared" si="55"/>
        <v>-3.6477583458950798E-4</v>
      </c>
      <c r="W60" s="3">
        <f t="shared" si="56"/>
        <v>2460305.5239245887</v>
      </c>
      <c r="X60" s="3">
        <f t="shared" si="57"/>
        <v>5.7877900895558394</v>
      </c>
      <c r="Y60" s="3">
        <f t="shared" si="58"/>
        <v>4.4805948829334525</v>
      </c>
      <c r="Z60" s="3">
        <f t="shared" si="59"/>
        <v>142.31614035617011</v>
      </c>
      <c r="AA60" s="3">
        <f t="shared" si="60"/>
        <v>194.52950674063351</v>
      </c>
      <c r="AB60" s="3">
        <f t="shared" si="61"/>
        <v>95.693084378895861</v>
      </c>
      <c r="AC60" s="3">
        <f t="shared" si="62"/>
        <v>278.31557990862109</v>
      </c>
      <c r="AD60" s="3">
        <f t="shared" si="63"/>
        <v>16.313095762779295</v>
      </c>
      <c r="AE60" s="3">
        <f t="shared" si="64"/>
        <v>40.514746631031926</v>
      </c>
      <c r="AF60" s="3">
        <f t="shared" si="65"/>
        <v>141.67670694918357</v>
      </c>
      <c r="AG60" s="3">
        <f t="shared" si="66"/>
        <v>4.2465748449140994</v>
      </c>
      <c r="AH60" s="3">
        <f t="shared" si="67"/>
        <v>14.629321402436183</v>
      </c>
      <c r="AI60" s="3">
        <f t="shared" si="68"/>
        <v>128.04560341699977</v>
      </c>
      <c r="AJ60" s="3">
        <f t="shared" si="69"/>
        <v>136.20887820747902</v>
      </c>
      <c r="AK60" s="3">
        <f t="shared" si="70"/>
        <v>24.377564959755627</v>
      </c>
    </row>
    <row r="61" spans="1:37">
      <c r="A61" s="3" t="s">
        <v>55</v>
      </c>
      <c r="B61" s="9" t="s">
        <v>56</v>
      </c>
      <c r="C61" s="35">
        <f t="shared" si="47"/>
        <v>45295.146996416152</v>
      </c>
      <c r="D61" s="17"/>
      <c r="E61" s="17"/>
      <c r="F61" s="3">
        <v>50</v>
      </c>
      <c r="G61" s="3" t="s">
        <v>50</v>
      </c>
      <c r="H61" s="12">
        <f t="shared" si="71"/>
        <v>12.75</v>
      </c>
      <c r="I61" s="12">
        <f t="shared" si="72"/>
        <v>296.75</v>
      </c>
      <c r="J61" s="3">
        <f t="shared" si="48"/>
        <v>0.23992852807494619</v>
      </c>
      <c r="K61" s="3">
        <f t="shared" si="49"/>
        <v>2460313.2999791643</v>
      </c>
      <c r="L61" s="3">
        <f t="shared" si="50"/>
        <v>150.78890748887326</v>
      </c>
      <c r="M61" s="3">
        <f t="shared" si="51"/>
        <v>2001.7659492143184</v>
      </c>
      <c r="N61" s="3">
        <f t="shared" si="52"/>
        <v>2026.1908186010155</v>
      </c>
      <c r="O61" s="3">
        <f t="shared" si="53"/>
        <v>-5.9213753158494455</v>
      </c>
      <c r="P61" s="3">
        <f t="shared" si="54"/>
        <v>0.99939591383719384</v>
      </c>
      <c r="Q61" s="3" t="s">
        <v>55</v>
      </c>
      <c r="R61" s="3">
        <f>-(0.00306-0.00038*P61*COS(L61)+0.00026*COS(M61)-0.00002*COS(M61-L61)+0.00002*COS(M61+L61)+0.00002*COS(2*N61))</f>
        <v>-2.4806436259157574E-3</v>
      </c>
      <c r="U61" s="3">
        <f>-0.62801*SIN(M61)+0.17172*P61*SIN(L61)-0.01183*P61*SIN(M61+L61)+0.00862*SIN(2*M61)+0.00804*SIN(2*N61)+0.00454*P61*SIN(M61-L61)+0.00204*P61^2*SIN(2*L61)-0.0018*SIN(M61-2*N61)-0.0007*SIN(M61+2*N61)-0.0004*SIN(3*M61)-0.00034*P61*SIN(2*M61-L61)+0.00032*P61*SIN(L61+2*N61)+0.00032*P61*SIN(L61-2*N61)-0.00028*P61^2*SIN(M61+2*L61)+0.00027*P61*SIN(2*M61+L61)-0.00017*SIN(O61)-0.00005*SIN(M61-L61-2*N61)+0.00004*SIN(2*M61+2*N61)-0.00004*SIN(M61+L61+2*N61)+0.00004*SIN(M61-2*L61)+0.00003*SIN(M61+L61-2*N61)+0.00003*SIN(3*L61)+0.00002*SIN(2*M61-2*N61)+0.00002*SIN(M61-L61+2*N61)-0.00002*SIN(3*M61+L61)</f>
        <v>0.3498697659183892</v>
      </c>
      <c r="V61" s="3">
        <f t="shared" si="55"/>
        <v>-3.7186998316227499E-4</v>
      </c>
      <c r="W61" s="3">
        <f t="shared" si="56"/>
        <v>2460313.6469964162</v>
      </c>
      <c r="X61" s="3">
        <f t="shared" si="57"/>
        <v>5.7882587298445438</v>
      </c>
      <c r="Y61" s="3">
        <f t="shared" si="58"/>
        <v>4.480666096730257</v>
      </c>
      <c r="Z61" s="3">
        <f t="shared" si="59"/>
        <v>142.43243114681167</v>
      </c>
      <c r="AA61" s="3">
        <f t="shared" si="60"/>
        <v>194.68838614811102</v>
      </c>
      <c r="AB61" s="3">
        <f t="shared" si="61"/>
        <v>95.772524082634604</v>
      </c>
      <c r="AC61" s="3">
        <f t="shared" si="62"/>
        <v>278.54816148554085</v>
      </c>
      <c r="AD61" s="3">
        <f t="shared" si="63"/>
        <v>16.323802188369683</v>
      </c>
      <c r="AE61" s="3">
        <f t="shared" si="64"/>
        <v>40.546628822277498</v>
      </c>
      <c r="AF61" s="3">
        <f t="shared" si="65"/>
        <v>141.79565654386434</v>
      </c>
      <c r="AG61" s="3">
        <f t="shared" si="66"/>
        <v>4.2471064023910872</v>
      </c>
      <c r="AH61" s="3">
        <f t="shared" si="67"/>
        <v>14.637369023987343</v>
      </c>
      <c r="AI61" s="3">
        <f t="shared" si="68"/>
        <v>128.15118778205093</v>
      </c>
      <c r="AJ61" s="3">
        <f t="shared" si="69"/>
        <v>136.32020010246333</v>
      </c>
      <c r="AK61" s="3">
        <f t="shared" si="70"/>
        <v>24.393240276639922</v>
      </c>
    </row>
    <row r="62" spans="1:37">
      <c r="A62" s="3" t="s">
        <v>48</v>
      </c>
      <c r="B62" s="9" t="s">
        <v>49</v>
      </c>
      <c r="C62" s="35">
        <f t="shared" si="47"/>
        <v>45302.499045821372</v>
      </c>
      <c r="D62" s="16"/>
      <c r="E62" s="17"/>
      <c r="F62" s="3">
        <v>1</v>
      </c>
      <c r="G62" s="3">
        <f>C62-C58</f>
        <v>29.517621536739171</v>
      </c>
      <c r="H62" s="12">
        <f t="shared" si="71"/>
        <v>13</v>
      </c>
      <c r="I62" s="12">
        <f t="shared" si="72"/>
        <v>297</v>
      </c>
      <c r="J62" s="3">
        <f t="shared" si="48"/>
        <v>0.24013065825866561</v>
      </c>
      <c r="K62" s="3">
        <f t="shared" si="49"/>
        <v>2460320.6826264574</v>
      </c>
      <c r="L62" s="3">
        <f t="shared" si="50"/>
        <v>150.91590356488823</v>
      </c>
      <c r="M62" s="3">
        <f t="shared" si="51"/>
        <v>2003.4493931901686</v>
      </c>
      <c r="N62" s="3">
        <f t="shared" si="52"/>
        <v>2027.8954402390557</v>
      </c>
      <c r="O62" s="3">
        <f t="shared" si="53"/>
        <v>-5.9281984841957565</v>
      </c>
      <c r="P62" s="3">
        <f t="shared" si="54"/>
        <v>0.99939540455959663</v>
      </c>
      <c r="Q62" s="3" t="s">
        <v>48</v>
      </c>
      <c r="S62" s="3">
        <f>-0.4072*SIN(M62)+0.17241*P62*SIN(L62)+0.01608*SIN(2*M62)+0.01039*SIN(2*N62)+0.00739*P62*SIN(M62-L62)-0.00514*P62*SIN(M62+L62)+0.00208*P62^2*SIN(2*L62)-0.00111*SIN(M62-2*N62)-0.00057*SIN(M62+2*N62)+0.00056*P62*SIN(2*M62+L62)-0.00042*SIN(3*M62)+0.00042*P62*SIN(L62+2*N62)+0.00038*P62*SIN(L62-2*N62)-0.00024*P62*SIN(2*M62-L62)-0.00017*SIN(O62)-0.00007*SIN(M62+2*L62)+0.00004*SIN(2*M62-2*N62)+0.00004*SIN(3*L62)+0.00003*SIN(M62+L62-2*N62)+0.00003*SIN(2*M62+2*N62)-0.00003*SIN(M62+L62+2*N62)+0.00003*SIN(M62-L62+2*N62)-0.00002*SIN(M62-L62-2*N62)-0.00002*SIN(3*M62+L62)+0.00002*SIN(4*M62)</f>
        <v>0.31679928321352724</v>
      </c>
      <c r="V62" s="3">
        <f t="shared" si="55"/>
        <v>-3.7991924847733158E-4</v>
      </c>
      <c r="W62" s="3">
        <f t="shared" si="56"/>
        <v>2460320.9990458214</v>
      </c>
      <c r="X62" s="3">
        <f t="shared" si="57"/>
        <v>5.7887273701201645</v>
      </c>
      <c r="Y62" s="3">
        <f t="shared" si="58"/>
        <v>4.4807373105270614</v>
      </c>
      <c r="Z62" s="3">
        <f t="shared" si="59"/>
        <v>142.54872193745319</v>
      </c>
      <c r="AA62" s="3">
        <f t="shared" si="60"/>
        <v>194.84726555558854</v>
      </c>
      <c r="AB62" s="3">
        <f t="shared" si="61"/>
        <v>95.851963786373375</v>
      </c>
      <c r="AC62" s="3">
        <f t="shared" si="62"/>
        <v>278.7807430624606</v>
      </c>
      <c r="AD62" s="3">
        <f t="shared" si="63"/>
        <v>16.334508613960068</v>
      </c>
      <c r="AE62" s="3">
        <f t="shared" si="64"/>
        <v>40.578511013523062</v>
      </c>
      <c r="AF62" s="3">
        <f t="shared" si="65"/>
        <v>141.91460613854511</v>
      </c>
      <c r="AG62" s="3">
        <f t="shared" si="66"/>
        <v>4.247637959868074</v>
      </c>
      <c r="AH62" s="3">
        <f t="shared" si="67"/>
        <v>14.645416645538505</v>
      </c>
      <c r="AI62" s="3">
        <f t="shared" si="68"/>
        <v>128.25677214710208</v>
      </c>
      <c r="AJ62" s="3">
        <f t="shared" si="69"/>
        <v>136.43152199744765</v>
      </c>
      <c r="AK62" s="3">
        <f t="shared" si="70"/>
        <v>24.408915593524206</v>
      </c>
    </row>
    <row r="63" spans="1:37">
      <c r="A63" s="3" t="s">
        <v>51</v>
      </c>
      <c r="B63" s="9" t="s">
        <v>52</v>
      </c>
      <c r="C63" s="35">
        <f t="shared" si="47"/>
        <v>45309.162409157958</v>
      </c>
      <c r="D63" s="17"/>
      <c r="E63" s="17"/>
      <c r="F63" s="3">
        <v>50</v>
      </c>
      <c r="G63" s="3" t="s">
        <v>50</v>
      </c>
      <c r="H63" s="12">
        <f t="shared" si="71"/>
        <v>13.25</v>
      </c>
      <c r="I63" s="12">
        <f t="shared" si="72"/>
        <v>297.25</v>
      </c>
      <c r="J63" s="3">
        <f t="shared" si="48"/>
        <v>0.24033278844238501</v>
      </c>
      <c r="K63" s="3">
        <f t="shared" si="49"/>
        <v>2460328.0652737506</v>
      </c>
      <c r="L63" s="3">
        <f t="shared" si="50"/>
        <v>151.04289964090319</v>
      </c>
      <c r="M63" s="3">
        <f t="shared" si="51"/>
        <v>2005.1328371660341</v>
      </c>
      <c r="N63" s="3">
        <f t="shared" si="52"/>
        <v>2029.6000618770936</v>
      </c>
      <c r="O63" s="3">
        <f t="shared" si="53"/>
        <v>-5.9350216525391151</v>
      </c>
      <c r="P63" s="3">
        <f t="shared" si="54"/>
        <v>0.99939489528139491</v>
      </c>
      <c r="Q63" s="3" t="s">
        <v>51</v>
      </c>
      <c r="R63" s="3">
        <f>0.00306-0.00038*P63*COS(L63)+0.00026*COS(M63)-0.00002*COS(M63-L63)+0.00002*COS(M63+L63)+0.00002*COS(2*N63)</f>
        <v>2.8857960524524924E-3</v>
      </c>
      <c r="U63" s="3">
        <f>-0.62801*SIN(M63)+0.17172*P63*SIN(L63)-0.01183*P63*SIN(M63+L63)+0.00862*SIN(2*M63)+0.00804*SIN(2*N63)+0.00454*P63*SIN(M63-L63)+0.00204*P63^2*SIN(2*L63)-0.0018*SIN(M63-2*N63)-0.0007*SIN(M63+2*N63)-0.0004*SIN(3*M63)-0.00034*P63*SIN(2*M63-L63)+0.00032*P63*SIN(L63+2*N63)+0.00032*P63*SIN(L63-2*N63)-0.00028*P63^2*SIN(M63+2*L63)+0.00027*P63*SIN(2*M63+L63)-0.00017*SIN(O63)-0.00005*SIN(M63-L63-2*N63)+0.00004*SIN(2*M63+2*N63)-0.00004*SIN(M63+L63+2*N63)+0.00004*SIN(M63-2*L63)+0.00003*SIN(M63+L63-2*N63)+0.00003*SIN(3*L63)+0.00002*SIN(2*M63-2*N63)+0.00002*SIN(M63-L63+2*N63)-0.00002*SIN(3*M63+L63)</f>
        <v>-0.40536165340233521</v>
      </c>
      <c r="V63" s="3">
        <f t="shared" si="55"/>
        <v>-3.8873559850742117E-4</v>
      </c>
      <c r="W63" s="3">
        <f t="shared" si="56"/>
        <v>2460327.662409158</v>
      </c>
      <c r="X63" s="3">
        <f t="shared" si="57"/>
        <v>5.7891960103827032</v>
      </c>
      <c r="Y63" s="3">
        <f t="shared" si="58"/>
        <v>4.4808085243238658</v>
      </c>
      <c r="Z63" s="3">
        <f t="shared" si="59"/>
        <v>142.66501272809475</v>
      </c>
      <c r="AA63" s="3">
        <f t="shared" si="60"/>
        <v>195.00614496306602</v>
      </c>
      <c r="AB63" s="3">
        <f t="shared" si="61"/>
        <v>95.931403490112118</v>
      </c>
      <c r="AC63" s="3">
        <f t="shared" si="62"/>
        <v>279.01332463938041</v>
      </c>
      <c r="AD63" s="3">
        <f t="shared" si="63"/>
        <v>16.345215039550457</v>
      </c>
      <c r="AE63" s="3">
        <f t="shared" si="64"/>
        <v>40.610393204768634</v>
      </c>
      <c r="AF63" s="3">
        <f t="shared" si="65"/>
        <v>142.03355573322591</v>
      </c>
      <c r="AG63" s="3">
        <f t="shared" si="66"/>
        <v>4.2481695173450618</v>
      </c>
      <c r="AH63" s="3">
        <f t="shared" si="67"/>
        <v>14.653464267089667</v>
      </c>
      <c r="AI63" s="3">
        <f t="shared" si="68"/>
        <v>128.36235651215327</v>
      </c>
      <c r="AJ63" s="3">
        <f t="shared" si="69"/>
        <v>136.54284389243196</v>
      </c>
      <c r="AK63" s="3">
        <f t="shared" si="70"/>
        <v>24.424590910408501</v>
      </c>
    </row>
    <row r="64" spans="1:37">
      <c r="A64" s="3" t="s">
        <v>53</v>
      </c>
      <c r="B64" s="9" t="s">
        <v>54</v>
      </c>
      <c r="C64" s="35">
        <f t="shared" si="47"/>
        <v>45316.746708429884</v>
      </c>
      <c r="D64" s="18"/>
      <c r="E64" s="17"/>
      <c r="F64" s="3">
        <v>99</v>
      </c>
      <c r="G64" s="3" t="s">
        <v>50</v>
      </c>
      <c r="H64" s="12">
        <f t="shared" si="71"/>
        <v>13.5</v>
      </c>
      <c r="I64" s="12">
        <f t="shared" si="72"/>
        <v>297.5</v>
      </c>
      <c r="J64" s="3">
        <f t="shared" si="48"/>
        <v>0.24053491862610443</v>
      </c>
      <c r="K64" s="3">
        <f t="shared" si="49"/>
        <v>2460335.4479210437</v>
      </c>
      <c r="L64" s="3">
        <f t="shared" si="50"/>
        <v>151.16989571691806</v>
      </c>
      <c r="M64" s="3">
        <f t="shared" si="51"/>
        <v>2006.8162811419147</v>
      </c>
      <c r="N64" s="3">
        <f t="shared" si="52"/>
        <v>2031.3046835151285</v>
      </c>
      <c r="O64" s="3">
        <f t="shared" si="53"/>
        <v>-5.9418448208795196</v>
      </c>
      <c r="P64" s="3">
        <f t="shared" si="54"/>
        <v>0.99939438600258834</v>
      </c>
      <c r="Q64" s="3" t="s">
        <v>53</v>
      </c>
      <c r="T64" s="3">
        <f>-0.40614*SIN(M64)+0.17302*P64*SIN(L64)+0.01614*SIN(2*M64)+0.01043*SIN(2*N64)+0.00734*P64*SIN(M64-L64)-0.00515*P64*SIN(M64+L64)+0.00209*P64^2*SIN(2*L64)-0.00111*SIN(M64-2*N64)-0.00057*SIN(M64+2*N64)+0.00056*P64*SIN(2*M64+L64)-0.00042*SIN(3*M64)+0.00042*P64*SIN(L64+2*N64)+0.00038*P64*SIN(L64-2*N64)-0.00024*P64*SIN(2*M64-L64)-0.00017*SIN(O64)-0.00007*SIN(M64+2*L64)+0.00004*SIN(2*M64-2*N64)+0.00004*SIN(3*L64)+0.00003*SIN(M64+L64-2*N64)+0.00003*SIN(2*M64+2*N64)-0.00003*SIN(M64+L64+2*N64)+0.00003*SIN(M64-L64+2*N64)-0.00002*SIN(M64-L64-2*N64)-0.00002*SIN(3*M64+L64)+0.00002*SIN(4*M64)</f>
        <v>-0.2008145889721471</v>
      </c>
      <c r="V64" s="3">
        <f t="shared" si="55"/>
        <v>-3.9802487909898395E-4</v>
      </c>
      <c r="W64" s="3">
        <f t="shared" si="56"/>
        <v>2460335.2467084299</v>
      </c>
      <c r="X64" s="3">
        <f t="shared" si="57"/>
        <v>5.7896646506321616</v>
      </c>
      <c r="Y64" s="3">
        <f t="shared" si="58"/>
        <v>4.4808797381206711</v>
      </c>
      <c r="Z64" s="3">
        <f t="shared" si="59"/>
        <v>142.78130351873631</v>
      </c>
      <c r="AA64" s="3">
        <f t="shared" si="60"/>
        <v>195.16502437054353</v>
      </c>
      <c r="AB64" s="3">
        <f t="shared" si="61"/>
        <v>96.01084319385086</v>
      </c>
      <c r="AC64" s="3">
        <f t="shared" si="62"/>
        <v>279.24590621630017</v>
      </c>
      <c r="AD64" s="3">
        <f t="shared" si="63"/>
        <v>16.355921465140842</v>
      </c>
      <c r="AE64" s="3">
        <f t="shared" si="64"/>
        <v>40.642275396014206</v>
      </c>
      <c r="AF64" s="3">
        <f t="shared" si="65"/>
        <v>142.15250532790668</v>
      </c>
      <c r="AG64" s="3">
        <f t="shared" si="66"/>
        <v>4.2487010748220495</v>
      </c>
      <c r="AH64" s="3">
        <f t="shared" si="67"/>
        <v>14.661511888640828</v>
      </c>
      <c r="AI64" s="3">
        <f t="shared" si="68"/>
        <v>128.46794087720443</v>
      </c>
      <c r="AJ64" s="3">
        <f t="shared" si="69"/>
        <v>136.65416578741628</v>
      </c>
      <c r="AK64" s="3">
        <f t="shared" si="70"/>
        <v>24.440266227292785</v>
      </c>
    </row>
    <row r="65" spans="1:37">
      <c r="A65" s="3" t="s">
        <v>55</v>
      </c>
      <c r="B65" s="9" t="s">
        <v>56</v>
      </c>
      <c r="C65" s="35">
        <f t="shared" si="47"/>
        <v>45324.971728719771</v>
      </c>
      <c r="D65" s="17"/>
      <c r="E65" s="17"/>
      <c r="F65" s="3">
        <v>50</v>
      </c>
      <c r="G65" s="3" t="s">
        <v>50</v>
      </c>
      <c r="H65" s="12">
        <f t="shared" si="71"/>
        <v>13.75</v>
      </c>
      <c r="I65" s="12">
        <f t="shared" si="72"/>
        <v>297.75</v>
      </c>
      <c r="J65" s="3">
        <f t="shared" si="48"/>
        <v>0.24073704880982386</v>
      </c>
      <c r="K65" s="3">
        <f t="shared" si="49"/>
        <v>2460342.8305683369</v>
      </c>
      <c r="L65" s="3">
        <f t="shared" si="50"/>
        <v>151.29689179293294</v>
      </c>
      <c r="M65" s="3">
        <f t="shared" si="51"/>
        <v>2008.4997251178113</v>
      </c>
      <c r="N65" s="3">
        <f t="shared" si="52"/>
        <v>2033.009305153161</v>
      </c>
      <c r="O65" s="3">
        <f t="shared" si="53"/>
        <v>-5.9486679892169718</v>
      </c>
      <c r="P65" s="3">
        <f t="shared" si="54"/>
        <v>0.99939387672317714</v>
      </c>
      <c r="Q65" s="3" t="s">
        <v>55</v>
      </c>
      <c r="R65" s="3">
        <f>-(0.00306-0.00038*P65*COS(L65)+0.00026*COS(M65)-0.00002*COS(M65-L65)+0.00002*COS(M65+L65)+0.00002*COS(2*N65))</f>
        <v>-2.621515542964884E-3</v>
      </c>
      <c r="U65" s="3">
        <f>-0.62801*SIN(M65)+0.17172*P65*SIN(L65)-0.01183*P65*SIN(M65+L65)+0.00862*SIN(2*M65)+0.00804*SIN(2*N65)+0.00454*P65*SIN(M65-L65)+0.00204*P65^2*SIN(2*L65)-0.0018*SIN(M65-2*N65)-0.0007*SIN(M65+2*N65)-0.0004*SIN(3*M65)-0.00034*P65*SIN(2*M65-L65)+0.00032*P65*SIN(L65+2*N65)+0.00032*P65*SIN(L65-2*N65)-0.00028*P65^2*SIN(M65+2*L65)+0.00027*P65*SIN(2*M65+L65)-0.00017*SIN(O65)-0.00005*SIN(M65-L65-2*N65)+0.00004*SIN(2*M65+2*N65)-0.00004*SIN(M65+L65+2*N65)+0.00004*SIN(M65-2*L65)+0.00003*SIN(M65+L65-2*N65)+0.00003*SIN(3*L65)+0.00002*SIN(2*M65-2*N65)+0.00002*SIN(M65-L65+2*N65)-0.00002*SIN(3*M65+L65)</f>
        <v>0.64418930708090361</v>
      </c>
      <c r="V65" s="3">
        <f t="shared" si="55"/>
        <v>-4.0740866832401635E-4</v>
      </c>
      <c r="W65" s="3">
        <f t="shared" si="56"/>
        <v>2460343.4717287198</v>
      </c>
      <c r="X65" s="3">
        <f t="shared" si="57"/>
        <v>5.7901332908685363</v>
      </c>
      <c r="Y65" s="3">
        <f t="shared" si="58"/>
        <v>4.4809509519174746</v>
      </c>
      <c r="Z65" s="3">
        <f t="shared" si="59"/>
        <v>142.89759430937784</v>
      </c>
      <c r="AA65" s="3">
        <f t="shared" si="60"/>
        <v>195.32390377802099</v>
      </c>
      <c r="AB65" s="3">
        <f t="shared" si="61"/>
        <v>96.090282897589617</v>
      </c>
      <c r="AC65" s="3">
        <f t="shared" si="62"/>
        <v>279.47848779321998</v>
      </c>
      <c r="AD65" s="3">
        <f t="shared" si="63"/>
        <v>16.366627890731227</v>
      </c>
      <c r="AE65" s="3">
        <f t="shared" si="64"/>
        <v>40.674157587259771</v>
      </c>
      <c r="AF65" s="3">
        <f t="shared" si="65"/>
        <v>142.27145492258742</v>
      </c>
      <c r="AG65" s="3">
        <f t="shared" si="66"/>
        <v>4.2492326322990364</v>
      </c>
      <c r="AH65" s="3">
        <f t="shared" si="67"/>
        <v>14.669559510191988</v>
      </c>
      <c r="AI65" s="3">
        <f t="shared" si="68"/>
        <v>128.57352524225556</v>
      </c>
      <c r="AJ65" s="3">
        <f t="shared" si="69"/>
        <v>136.76548768240059</v>
      </c>
      <c r="AK65" s="3">
        <f t="shared" si="70"/>
        <v>24.45594154417708</v>
      </c>
    </row>
    <row r="66" spans="1:37">
      <c r="H66" s="12"/>
    </row>
    <row r="67" spans="1:37">
      <c r="H67" s="12"/>
    </row>
    <row r="68" spans="1:37">
      <c r="H68" s="12"/>
      <c r="R68" s="71">
        <v>26105</v>
      </c>
      <c r="S68" s="71"/>
      <c r="T68" s="3">
        <v>99</v>
      </c>
    </row>
    <row r="69" spans="1:37">
      <c r="H69" s="12"/>
      <c r="R69" s="71">
        <v>26288</v>
      </c>
      <c r="S69" s="71"/>
      <c r="T69" s="3">
        <v>1</v>
      </c>
    </row>
    <row r="70" spans="1:37">
      <c r="H70" s="12"/>
      <c r="R70" s="71">
        <v>26471</v>
      </c>
      <c r="S70" s="71"/>
      <c r="T70" s="3">
        <v>99</v>
      </c>
    </row>
    <row r="71" spans="1:37">
      <c r="H71" s="12"/>
      <c r="R71" s="71">
        <v>26654</v>
      </c>
      <c r="S71" s="71"/>
      <c r="T71" s="3">
        <v>1</v>
      </c>
    </row>
    <row r="72" spans="1:37">
      <c r="H72" s="12"/>
      <c r="R72" s="71">
        <v>26836</v>
      </c>
      <c r="S72" s="71"/>
      <c r="T72" s="3">
        <v>99</v>
      </c>
    </row>
    <row r="73" spans="1:37">
      <c r="H73" s="12"/>
    </row>
    <row r="74" spans="1:37">
      <c r="H74" s="12"/>
      <c r="R74" s="71">
        <f>'Mondphasen (Datum)'!B14</f>
        <v>44927</v>
      </c>
      <c r="S74" s="71"/>
      <c r="T74" s="3">
        <v>1</v>
      </c>
    </row>
    <row r="75" spans="1:37">
      <c r="H75" s="12"/>
      <c r="R75" s="71">
        <f>R74</f>
        <v>44927</v>
      </c>
      <c r="S75" s="71"/>
      <c r="T75" s="3">
        <v>99</v>
      </c>
    </row>
    <row r="76" spans="1:37">
      <c r="H76" s="12"/>
    </row>
    <row r="77" spans="1:37">
      <c r="H77" s="12"/>
    </row>
    <row r="78" spans="1:37">
      <c r="H78" s="12"/>
    </row>
    <row r="79" spans="1:37">
      <c r="H79" s="12"/>
    </row>
    <row r="80" spans="1:37">
      <c r="H80" s="12"/>
    </row>
    <row r="81" spans="2:38 16379:16379">
      <c r="H81" s="12"/>
    </row>
    <row r="82" spans="2:38 16379:16379">
      <c r="H82" s="12"/>
    </row>
    <row r="83" spans="2:38 16379:16379">
      <c r="H83" s="12"/>
    </row>
    <row r="84" spans="2:38 16379:16379">
      <c r="H84" s="12"/>
    </row>
    <row r="85" spans="2:38 16379:16379">
      <c r="B85"/>
      <c r="C85"/>
      <c r="D85"/>
      <c r="E85"/>
      <c r="F85"/>
      <c r="G85"/>
      <c r="H85"/>
      <c r="I85"/>
      <c r="J85"/>
      <c r="K85"/>
      <c r="L85" t="s">
        <v>77</v>
      </c>
      <c r="M85"/>
      <c r="N85" t="s">
        <v>78</v>
      </c>
      <c r="O85"/>
      <c r="P85" t="s">
        <v>79</v>
      </c>
      <c r="Q85"/>
      <c r="R85" t="s">
        <v>80</v>
      </c>
      <c r="S85"/>
      <c r="T85" t="s">
        <v>77</v>
      </c>
      <c r="U85"/>
    </row>
    <row r="86" spans="2:38 16379:16379">
      <c r="B86" t="s">
        <v>81</v>
      </c>
      <c r="C86" s="43">
        <v>26463.895138888889</v>
      </c>
      <c r="D86" s="44">
        <v>0.89513888888888893</v>
      </c>
      <c r="E86" t="s">
        <v>82</v>
      </c>
      <c r="F86" t="s">
        <v>83</v>
      </c>
      <c r="G86">
        <v>13</v>
      </c>
      <c r="H86" t="s">
        <v>84</v>
      </c>
      <c r="I86">
        <v>96</v>
      </c>
      <c r="J86" t="s">
        <v>85</v>
      </c>
      <c r="K86"/>
      <c r="L86" s="69">
        <v>26461.479166666668</v>
      </c>
      <c r="M86" s="69"/>
      <c r="N86" s="69">
        <v>26468.653794483282</v>
      </c>
      <c r="O86" s="69"/>
      <c r="P86" s="69">
        <v>26476.781944444443</v>
      </c>
      <c r="Q86" s="69"/>
      <c r="R86" s="69">
        <v>26484.140972222223</v>
      </c>
      <c r="S86" s="69"/>
      <c r="T86" s="69">
        <v>26490.818749999999</v>
      </c>
      <c r="U86" s="70"/>
    </row>
    <row r="87" spans="2:38 16379:16379">
      <c r="B87" t="s">
        <v>86</v>
      </c>
      <c r="C87" s="43">
        <v>24824.139583333334</v>
      </c>
      <c r="D87" s="44">
        <v>0.13958333333333334</v>
      </c>
      <c r="E87" t="s">
        <v>87</v>
      </c>
      <c r="F87" t="s">
        <v>83</v>
      </c>
      <c r="G87">
        <v>91</v>
      </c>
      <c r="H87" t="s">
        <v>84</v>
      </c>
      <c r="I87">
        <v>1</v>
      </c>
      <c r="J87" t="s">
        <v>88</v>
      </c>
      <c r="K87"/>
      <c r="L87" s="69">
        <v>24807.673611111109</v>
      </c>
      <c r="M87" s="69"/>
      <c r="N87" s="69">
        <v>24814.747916666667</v>
      </c>
      <c r="O87" s="69"/>
      <c r="P87" s="69">
        <v>24822.972916666666</v>
      </c>
      <c r="Q87" s="69"/>
      <c r="R87" s="69">
        <v>24830.45</v>
      </c>
      <c r="S87" s="69"/>
      <c r="T87" s="69">
        <v>24837.151388888888</v>
      </c>
      <c r="U87" s="70"/>
    </row>
    <row r="88" spans="2:38 16379:16379" ht="15">
      <c r="B88" s="45" t="s">
        <v>89</v>
      </c>
      <c r="C88" s="43">
        <v>25900.982638888891</v>
      </c>
      <c r="D88" s="44">
        <v>0.98263888888888884</v>
      </c>
      <c r="E88" t="s">
        <v>82</v>
      </c>
      <c r="F88" t="s">
        <v>83</v>
      </c>
      <c r="G88">
        <v>0</v>
      </c>
      <c r="H88" t="s">
        <v>84</v>
      </c>
      <c r="I88">
        <v>12</v>
      </c>
      <c r="J88" t="s">
        <v>90</v>
      </c>
      <c r="K88"/>
      <c r="L88" s="69">
        <v>25900.884722222221</v>
      </c>
      <c r="M88" s="69"/>
      <c r="N88" s="69">
        <v>25907.858333333334</v>
      </c>
      <c r="O88" s="69"/>
      <c r="P88" s="69">
        <v>25914.877083333333</v>
      </c>
      <c r="Q88" s="69"/>
      <c r="R88" s="69">
        <v>25922.881249999999</v>
      </c>
      <c r="S88" s="69"/>
      <c r="T88" s="69">
        <v>25930.446527777778</v>
      </c>
      <c r="U88" s="70"/>
    </row>
    <row r="90" spans="2:38 16379:16379">
      <c r="B90" t="s">
        <v>81</v>
      </c>
      <c r="C90" s="43">
        <v>26288</v>
      </c>
      <c r="D90" s="43">
        <v>26471</v>
      </c>
      <c r="E90" s="68">
        <v>26654</v>
      </c>
      <c r="F90" s="68"/>
      <c r="G90">
        <f>C86-C90</f>
        <v>175.89513888888905</v>
      </c>
      <c r="H90">
        <f>D90-C90</f>
        <v>183</v>
      </c>
      <c r="I90">
        <f>100/H90*G90</f>
        <v>96.117562234365607</v>
      </c>
      <c r="J90" t="s">
        <v>91</v>
      </c>
      <c r="K90"/>
      <c r="L90"/>
      <c r="M90">
        <f>C86-L86</f>
        <v>2.4159722222211713</v>
      </c>
      <c r="N90">
        <f>P86-L86</f>
        <v>15.302777777775191</v>
      </c>
      <c r="O90">
        <f>100/N90*M90</f>
        <v>15.787801778903043</v>
      </c>
      <c r="P90" t="s">
        <v>91</v>
      </c>
      <c r="Q90"/>
      <c r="R90" t="str">
        <f>IF(OR(I90&gt;75,O90&gt;75),"ja","nein")</f>
        <v>ja</v>
      </c>
      <c r="S90" t="str">
        <f>IF(I90&gt;O90,"ja","nein")</f>
        <v>ja</v>
      </c>
      <c r="T90" t="str">
        <f>IF(O90&gt;I90,"ja","nein")</f>
        <v>nein</v>
      </c>
      <c r="U90">
        <f>100/MAX(I90,O90)*ABS(I90-O90)</f>
        <v>83.574487937586994</v>
      </c>
      <c r="V90" t="str">
        <f>IF(U90&gt;7,IF(R90="ja","hoch","")&amp;" "&amp;IF(S90="ja","Ausatmer","Einatmer"),"? Typ")</f>
        <v>hoch Ausatmer</v>
      </c>
      <c r="AL90" s="3"/>
      <c r="XEY90" s="2"/>
    </row>
    <row r="91" spans="2:38 16379:16379">
      <c r="B91" t="s">
        <v>86</v>
      </c>
      <c r="C91"/>
      <c r="D91" s="43">
        <v>24644</v>
      </c>
      <c r="E91" s="68">
        <v>24827</v>
      </c>
      <c r="F91" s="68"/>
      <c r="G91">
        <f>C87-D91</f>
        <v>180.13958333333358</v>
      </c>
      <c r="H91">
        <f>E91-D91</f>
        <v>183</v>
      </c>
      <c r="I91">
        <f>100-100/H91*G91</f>
        <v>1.5630692167575972</v>
      </c>
      <c r="J91" t="s">
        <v>92</v>
      </c>
      <c r="K91"/>
      <c r="L91"/>
      <c r="M91">
        <f>C87-P87</f>
        <v>1.1666666666678793</v>
      </c>
      <c r="N91">
        <f>T87-P87</f>
        <v>14.178472222221899</v>
      </c>
      <c r="O91">
        <f>100-(100/N91*M91)</f>
        <v>91.771562913249824</v>
      </c>
      <c r="P91" t="s">
        <v>92</v>
      </c>
      <c r="Q91"/>
      <c r="R91" t="str">
        <f>IF(OR(I91&gt;75,O91&gt;75),"ja","nein")</f>
        <v>ja</v>
      </c>
      <c r="S91" t="str">
        <f>IF(I91&gt;O91,"ja","nein")</f>
        <v>nein</v>
      </c>
      <c r="T91" t="str">
        <f>IF(O91&gt;I91,"ja","nein")</f>
        <v>ja</v>
      </c>
      <c r="U91">
        <f>100/MAX(I91,O91)*ABS(I91-O91)</f>
        <v>98.296782612022056</v>
      </c>
      <c r="V91" t="str">
        <f>IF(U91&gt;7,IF(R91="ja","hoch","")&amp;" "&amp;IF(S91="ja","Ausatmer","Einatmer"),"? Typ")</f>
        <v>hoch Einatmer</v>
      </c>
      <c r="AL91" s="3"/>
      <c r="XEY91" s="2"/>
    </row>
    <row r="92" spans="2:38 16379:16379" ht="15">
      <c r="B92" s="45" t="s">
        <v>89</v>
      </c>
      <c r="C92"/>
      <c r="D92" s="43">
        <v>25740</v>
      </c>
      <c r="E92" s="68">
        <v>25923</v>
      </c>
      <c r="F92" s="68"/>
      <c r="G92">
        <f>C88-D92</f>
        <v>160.98263888889051</v>
      </c>
      <c r="H92">
        <f>E92-D92</f>
        <v>183</v>
      </c>
      <c r="I92">
        <f>100-100/H92*G92</f>
        <v>12.031344869458735</v>
      </c>
      <c r="J92" t="s">
        <v>92</v>
      </c>
      <c r="K92"/>
      <c r="L92" s="44"/>
      <c r="M92">
        <f>C88-L88</f>
        <v>9.7916666669334518E-2</v>
      </c>
      <c r="N92">
        <f>P88-L88</f>
        <v>13.992361111111677</v>
      </c>
      <c r="O92">
        <f>100/N92*M92</f>
        <v>0.69978658992424436</v>
      </c>
      <c r="P92" s="44" t="s">
        <v>67</v>
      </c>
      <c r="Q92"/>
      <c r="R92" t="str">
        <f>IF(OR(I92&gt;75,O92&gt;75),"ja","nein")</f>
        <v>nein</v>
      </c>
      <c r="S92" t="str">
        <f>IF(I92&gt;O92,"ja","nein")</f>
        <v>ja</v>
      </c>
      <c r="T92" t="str">
        <f>IF(O92&gt;I92,"ja","nein")</f>
        <v>nein</v>
      </c>
      <c r="U92">
        <f>100/MAX(I92,O92)*ABS(I92-O92)</f>
        <v>94.183637843341728</v>
      </c>
      <c r="V92" t="str">
        <f>IF(U92&gt;7,IF(R92="ja","hoch","")&amp;" "&amp;IF(S92="ja","Ausatmer","Einatmer"),"? Typ")</f>
        <v xml:space="preserve"> Ausatmer</v>
      </c>
      <c r="AL92" s="3"/>
      <c r="XEY92" s="2"/>
    </row>
    <row r="93" spans="2:38 16379:16379" ht="15">
      <c r="B93" s="45"/>
      <c r="C93"/>
      <c r="D93"/>
      <c r="E93"/>
      <c r="F93"/>
      <c r="G93"/>
      <c r="H93"/>
      <c r="I93" t="s">
        <v>84</v>
      </c>
      <c r="J93"/>
      <c r="K93"/>
      <c r="L93"/>
      <c r="M93"/>
      <c r="N93"/>
      <c r="O93" t="s">
        <v>83</v>
      </c>
      <c r="P93"/>
      <c r="Q93"/>
      <c r="R93" t="s">
        <v>93</v>
      </c>
      <c r="S93"/>
      <c r="T93"/>
      <c r="U93" t="s">
        <v>94</v>
      </c>
      <c r="V93"/>
      <c r="AL93" s="3"/>
      <c r="XEY93" s="2"/>
    </row>
    <row r="94" spans="2:38 16379:16379" ht="15">
      <c r="B94" s="45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t="s">
        <v>95</v>
      </c>
      <c r="T94"/>
      <c r="U94"/>
      <c r="V94"/>
      <c r="AL94" s="3"/>
      <c r="XEY94" s="2"/>
    </row>
    <row r="95" spans="2:38 16379:16379" ht="15">
      <c r="B95" s="4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t="s">
        <v>96</v>
      </c>
      <c r="U95"/>
      <c r="V95"/>
      <c r="AL95" s="3"/>
      <c r="XEY95" s="2"/>
    </row>
    <row r="96" spans="2:38 16379:16379">
      <c r="F96" s="36"/>
      <c r="H96" s="3"/>
      <c r="J96" s="2"/>
      <c r="AL96" s="3"/>
      <c r="XEY96" s="2"/>
    </row>
  </sheetData>
  <mergeCells count="62">
    <mergeCell ref="R71:S71"/>
    <mergeCell ref="R72:S72"/>
    <mergeCell ref="R74:S74"/>
    <mergeCell ref="R75:S75"/>
    <mergeCell ref="R70:S70"/>
    <mergeCell ref="R69:S69"/>
    <mergeCell ref="R68:S68"/>
    <mergeCell ref="AJ1:AJ6"/>
    <mergeCell ref="AK1:AK6"/>
    <mergeCell ref="D2:E2"/>
    <mergeCell ref="D3:E3"/>
    <mergeCell ref="D4:E4"/>
    <mergeCell ref="D5:E5"/>
    <mergeCell ref="D6:E6"/>
    <mergeCell ref="AE1:AE6"/>
    <mergeCell ref="AF1:AF6"/>
    <mergeCell ref="AG1:AG6"/>
    <mergeCell ref="AH1:AH6"/>
    <mergeCell ref="AI1:AI6"/>
    <mergeCell ref="Z1:Z6"/>
    <mergeCell ref="AA1:AA6"/>
    <mergeCell ref="AB1:AB6"/>
    <mergeCell ref="AC1:AC6"/>
    <mergeCell ref="AD1:AD6"/>
    <mergeCell ref="U1:U6"/>
    <mergeCell ref="V1:V6"/>
    <mergeCell ref="W1:W6"/>
    <mergeCell ref="X1:X6"/>
    <mergeCell ref="Y1:Y6"/>
    <mergeCell ref="P1:P6"/>
    <mergeCell ref="Q1:Q6"/>
    <mergeCell ref="R1:R6"/>
    <mergeCell ref="S1:S6"/>
    <mergeCell ref="T1:T6"/>
    <mergeCell ref="K1:K6"/>
    <mergeCell ref="L1:L6"/>
    <mergeCell ref="M1:M6"/>
    <mergeCell ref="N1:N6"/>
    <mergeCell ref="O1:O6"/>
    <mergeCell ref="D1:E1"/>
    <mergeCell ref="G1:G6"/>
    <mergeCell ref="H1:H6"/>
    <mergeCell ref="I1:I6"/>
    <mergeCell ref="J1:J6"/>
    <mergeCell ref="L86:M86"/>
    <mergeCell ref="N86:O86"/>
    <mergeCell ref="P86:Q86"/>
    <mergeCell ref="R86:S86"/>
    <mergeCell ref="T86:U86"/>
    <mergeCell ref="P88:Q88"/>
    <mergeCell ref="R88:S88"/>
    <mergeCell ref="T88:U88"/>
    <mergeCell ref="L87:M87"/>
    <mergeCell ref="N87:O87"/>
    <mergeCell ref="P87:Q87"/>
    <mergeCell ref="R87:S87"/>
    <mergeCell ref="T87:U87"/>
    <mergeCell ref="E92:F92"/>
    <mergeCell ref="E91:F91"/>
    <mergeCell ref="E90:F90"/>
    <mergeCell ref="L88:M88"/>
    <mergeCell ref="N88:O88"/>
  </mergeCells>
  <pageMargins left="0.78749999999999998" right="0.78749999999999998" top="0.78749999999999998" bottom="0.78749999999999998" header="0.39374999999999999" footer="0.39374999999999999"/>
  <pageSetup paperSize="9" fitToWidth="0" pageOrder="overThenDown"/>
  <drawing r:id="rId1"/>
  <extLst>
    <ext uri="smNativeData">
      <pm:sheetPrefs xmlns:pm="smNativeData" day="1686419768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Mondphasen (Datum)</vt:lpstr>
      <vt:lpstr>Mondphasen (Jahr)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cp:revision>0</cp:revision>
  <dcterms:created xsi:type="dcterms:W3CDTF">2023-06-09T21:25:48Z</dcterms:created>
  <dcterms:modified xsi:type="dcterms:W3CDTF">2023-06-19T08:47:03Z</dcterms:modified>
</cp:coreProperties>
</file>