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360" yWindow="105" windowWidth="26475" windowHeight="12165"/>
  </bookViews>
  <sheets>
    <sheet name="Tabelle1" sheetId="1" r:id="rId1"/>
    <sheet name="Tabelle2" sheetId="2" r:id="rId2"/>
    <sheet name="Tabelle3" sheetId="3" r:id="rId3"/>
  </sheets>
  <definedNames>
    <definedName name="Z_84323158_D89D_41EC_B44C_042B5D648DB1_.wvu.Rows" localSheetId="1" hidden="1">Tabelle2!$47:$47</definedName>
  </definedNames>
  <calcPr calcId="145621"/>
  <customWorkbookViews>
    <customWorkbookView name="Ingo - Persönliche Ansicht" guid="{84323158-D89D-41EC-B44C-042B5D648DB1}" mergeInterval="0" personalView="1" maximized="1" xWindow="30" yWindow="32" windowWidth="1329" windowHeight="430" activeSheetId="2" showComments="commIndAndComment"/>
  </customWorkbookViews>
</workbook>
</file>

<file path=xl/calcChain.xml><?xml version="1.0" encoding="utf-8"?>
<calcChain xmlns="http://schemas.openxmlformats.org/spreadsheetml/2006/main">
  <c r="E22" i="2" l="1"/>
  <c r="O5" i="1" l="1"/>
  <c r="G22" i="2"/>
  <c r="J22" i="2" s="1"/>
  <c r="E24" i="2"/>
  <c r="F75" i="2" s="1"/>
  <c r="T25" i="1" s="1"/>
  <c r="G24" i="2"/>
  <c r="E26" i="2"/>
  <c r="M75" i="2" s="1"/>
  <c r="E30" i="2"/>
  <c r="G30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75" i="2" l="1"/>
  <c r="Q25" i="1" s="1"/>
  <c r="J30" i="2"/>
  <c r="G75" i="2"/>
  <c r="U25" i="1" s="1"/>
  <c r="J24" i="2"/>
  <c r="U151" i="2" s="1"/>
  <c r="B75" i="2"/>
  <c r="P25" i="1" s="1"/>
  <c r="S151" i="2" l="1"/>
  <c r="J31" i="2"/>
  <c r="Q5" i="1" s="1"/>
  <c r="Q75" i="2"/>
  <c r="E28" i="2"/>
  <c r="J32" i="2"/>
  <c r="E32" i="2" s="1"/>
  <c r="D27" i="1" s="1"/>
  <c r="N31" i="2" l="1"/>
  <c r="X44" i="2"/>
  <c r="C34" i="2"/>
  <c r="E34" i="2" s="1"/>
  <c r="D29" i="1" s="1"/>
  <c r="D15" i="1"/>
  <c r="J49" i="2" l="1"/>
  <c r="E45" i="2"/>
  <c r="E51" i="2"/>
  <c r="D38" i="1" s="1"/>
  <c r="J34" i="2"/>
  <c r="J36" i="2" s="1"/>
  <c r="J38" i="2" s="1"/>
  <c r="E38" i="2" s="1"/>
  <c r="D34" i="1" s="1"/>
  <c r="J43" i="2"/>
  <c r="D42" i="1"/>
  <c r="C45" i="2"/>
  <c r="D24" i="1"/>
  <c r="T146" i="2"/>
  <c r="S150" i="2" s="1"/>
  <c r="E132" i="2"/>
  <c r="F132" i="2" s="1"/>
  <c r="Z132" i="2" s="1"/>
  <c r="E144" i="2"/>
  <c r="F144" i="2" s="1"/>
  <c r="Z144" i="2" s="1"/>
  <c r="E147" i="2"/>
  <c r="F147" i="2" s="1"/>
  <c r="Z147" i="2" s="1"/>
  <c r="E142" i="2"/>
  <c r="F142" i="2" s="1"/>
  <c r="Z142" i="2" s="1"/>
  <c r="E151" i="2"/>
  <c r="F151" i="2" s="1"/>
  <c r="Z151" i="2" s="1"/>
  <c r="E139" i="2"/>
  <c r="F139" i="2" s="1"/>
  <c r="Z139" i="2" s="1"/>
  <c r="H43" i="2"/>
  <c r="F40" i="1" s="1"/>
  <c r="H41" i="2"/>
  <c r="E149" i="2"/>
  <c r="F149" i="2" s="1"/>
  <c r="Z149" i="2" s="1"/>
  <c r="E131" i="2"/>
  <c r="F131" i="2" s="1"/>
  <c r="Z131" i="2" s="1"/>
  <c r="E152" i="2"/>
  <c r="F152" i="2" s="1"/>
  <c r="Z152" i="2" s="1"/>
  <c r="E145" i="2"/>
  <c r="F145" i="2" s="1"/>
  <c r="Z145" i="2" s="1"/>
  <c r="E138" i="2"/>
  <c r="F138" i="2" s="1"/>
  <c r="Z138" i="2" s="1"/>
  <c r="E133" i="2"/>
  <c r="F133" i="2" s="1"/>
  <c r="Z133" i="2" s="1"/>
  <c r="E146" i="2"/>
  <c r="F146" i="2" s="1"/>
  <c r="Z146" i="2" s="1"/>
  <c r="E140" i="2"/>
  <c r="F140" i="2" s="1"/>
  <c r="Z140" i="2" s="1"/>
  <c r="E153" i="2"/>
  <c r="F153" i="2" s="1"/>
  <c r="Z153" i="2" s="1"/>
  <c r="E141" i="2"/>
  <c r="F141" i="2" s="1"/>
  <c r="Z141" i="2" s="1"/>
  <c r="E148" i="2"/>
  <c r="F148" i="2" s="1"/>
  <c r="Z148" i="2" s="1"/>
  <c r="E137" i="2"/>
  <c r="F137" i="2" s="1"/>
  <c r="Z137" i="2" s="1"/>
  <c r="E150" i="2"/>
  <c r="F150" i="2" s="1"/>
  <c r="Z150" i="2" s="1"/>
  <c r="E136" i="2"/>
  <c r="F136" i="2" s="1"/>
  <c r="Z136" i="2" s="1"/>
  <c r="E135" i="2"/>
  <c r="F135" i="2" s="1"/>
  <c r="Z135" i="2" s="1"/>
  <c r="E134" i="2"/>
  <c r="F134" i="2" s="1"/>
  <c r="Z134" i="2" s="1"/>
  <c r="E130" i="2"/>
  <c r="F130" i="2" s="1"/>
  <c r="Z130" i="2" s="1"/>
  <c r="E154" i="2"/>
  <c r="F154" i="2" s="1"/>
  <c r="Z154" i="2" s="1"/>
  <c r="E143" i="2"/>
  <c r="F143" i="2" s="1"/>
  <c r="Z143" i="2" s="1"/>
  <c r="E43" i="2"/>
  <c r="E36" i="2" l="1"/>
  <c r="D31" i="1" s="1"/>
  <c r="E49" i="2"/>
  <c r="D46" i="1" s="1"/>
  <c r="J41" i="2"/>
  <c r="E41" i="2" s="1"/>
  <c r="D36" i="1" s="1"/>
  <c r="J47" i="2"/>
  <c r="N24" i="2"/>
  <c r="N22" i="2" s="1"/>
  <c r="D20" i="1" s="1"/>
  <c r="T140" i="2"/>
  <c r="T141" i="2" s="1"/>
  <c r="T145" i="2" s="1"/>
  <c r="T143" i="2" s="1"/>
  <c r="U150" i="2" s="1"/>
  <c r="U44" i="2"/>
  <c r="H47" i="2"/>
  <c r="F44" i="1" s="1"/>
  <c r="D40" i="1"/>
  <c r="N103" i="2"/>
  <c r="M151" i="2"/>
  <c r="N151" i="2" s="1"/>
  <c r="Y151" i="2" s="1"/>
  <c r="M144" i="2"/>
  <c r="N144" i="2" s="1"/>
  <c r="Y144" i="2" s="1"/>
  <c r="M131" i="2"/>
  <c r="N131" i="2" s="1"/>
  <c r="Y131" i="2" s="1"/>
  <c r="M145" i="2"/>
  <c r="N145" i="2" s="1"/>
  <c r="Y145" i="2" s="1"/>
  <c r="M149" i="2"/>
  <c r="N149" i="2" s="1"/>
  <c r="Y149" i="2" s="1"/>
  <c r="M139" i="2"/>
  <c r="N139" i="2" s="1"/>
  <c r="Y139" i="2" s="1"/>
  <c r="M142" i="2"/>
  <c r="N142" i="2" s="1"/>
  <c r="Y142" i="2" s="1"/>
  <c r="F36" i="1"/>
  <c r="M132" i="2"/>
  <c r="N132" i="2" s="1"/>
  <c r="Y132" i="2" s="1"/>
  <c r="M138" i="2"/>
  <c r="N138" i="2" s="1"/>
  <c r="Y138" i="2" s="1"/>
  <c r="M147" i="2"/>
  <c r="N147" i="2" s="1"/>
  <c r="Y147" i="2" s="1"/>
  <c r="M152" i="2"/>
  <c r="N152" i="2" s="1"/>
  <c r="Y152" i="2" s="1"/>
  <c r="M146" i="2"/>
  <c r="N146" i="2" s="1"/>
  <c r="Y146" i="2" s="1"/>
  <c r="M141" i="2"/>
  <c r="N141" i="2" s="1"/>
  <c r="Y141" i="2" s="1"/>
  <c r="M137" i="2"/>
  <c r="N137" i="2" s="1"/>
  <c r="Y137" i="2" s="1"/>
  <c r="M140" i="2"/>
  <c r="N140" i="2" s="1"/>
  <c r="Y140" i="2" s="1"/>
  <c r="M148" i="2"/>
  <c r="N148" i="2" s="1"/>
  <c r="Y148" i="2" s="1"/>
  <c r="M133" i="2"/>
  <c r="N133" i="2" s="1"/>
  <c r="Y133" i="2" s="1"/>
  <c r="M153" i="2"/>
  <c r="N153" i="2" s="1"/>
  <c r="Y153" i="2" s="1"/>
  <c r="M150" i="2"/>
  <c r="N150" i="2" s="1"/>
  <c r="Y150" i="2" s="1"/>
  <c r="M136" i="2"/>
  <c r="N136" i="2" s="1"/>
  <c r="Y136" i="2" s="1"/>
  <c r="M143" i="2"/>
  <c r="N143" i="2" s="1"/>
  <c r="Y143" i="2" s="1"/>
  <c r="M134" i="2"/>
  <c r="N134" i="2" s="1"/>
  <c r="Y134" i="2" s="1"/>
  <c r="M154" i="2"/>
  <c r="N154" i="2" s="1"/>
  <c r="Y154" i="2" s="1"/>
  <c r="M130" i="2"/>
  <c r="N130" i="2" s="1"/>
  <c r="Y130" i="2" s="1"/>
  <c r="M135" i="2"/>
  <c r="N135" i="2" s="1"/>
  <c r="Y135" i="2" s="1"/>
  <c r="N29" i="2"/>
  <c r="N28" i="2" s="1"/>
  <c r="G103" i="2" l="1"/>
  <c r="E47" i="2"/>
  <c r="X130" i="2"/>
  <c r="W75" i="2"/>
  <c r="S28" i="2"/>
  <c r="D44" i="1" l="1"/>
  <c r="V103" i="2"/>
  <c r="AA75" i="2"/>
  <c r="N26" i="2"/>
  <c r="D22" i="1" s="1"/>
  <c r="W130" i="2" l="1"/>
</calcChain>
</file>

<file path=xl/sharedStrings.xml><?xml version="1.0" encoding="utf-8"?>
<sst xmlns="http://schemas.openxmlformats.org/spreadsheetml/2006/main" count="171" uniqueCount="98">
  <si>
    <t>Azimut</t>
  </si>
  <si>
    <t>j</t>
  </si>
  <si>
    <t>a</t>
  </si>
  <si>
    <t xml:space="preserve">Stundenwinkel </t>
  </si>
  <si>
    <t>Breitengrad</t>
  </si>
  <si>
    <t>Längengrad</t>
  </si>
  <si>
    <t>sin h</t>
  </si>
  <si>
    <t>h</t>
  </si>
  <si>
    <t>°</t>
  </si>
  <si>
    <t>Höhe</t>
  </si>
  <si>
    <t>vergangene Tage:</t>
  </si>
  <si>
    <t>Datum:</t>
  </si>
  <si>
    <t>l</t>
  </si>
  <si>
    <r>
      <t xml:space="preserve">tan </t>
    </r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</si>
  <si>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sin </t>
    </r>
    <r>
      <rPr>
        <i/>
        <sz val="11"/>
        <color theme="1"/>
        <rFont val="Calibri"/>
        <family val="2"/>
        <scheme val="minor"/>
      </rPr>
      <t>h</t>
    </r>
  </si>
  <si>
    <t xml:space="preserve">                Seit dem</t>
  </si>
  <si>
    <t>Wo und wann steht die Sonne wie hoch und wo am Himmel?</t>
  </si>
  <si>
    <t>t</t>
  </si>
  <si>
    <t xml:space="preserve">Wintersonnenwende (-23,4°), Frühlings-Tag-und-Nachtgleiche (0°), </t>
  </si>
  <si>
    <t xml:space="preserve">Sommersonnenwende (+23,4°), Herbst-Tag-und-Nachtgleiche (0°) </t>
  </si>
  <si>
    <t xml:space="preserve">Achtung: In südlichen Breiten  geht die Sonne in östlicher Richtung auf, steht mittags im Norden und geht in westlicher Richtung unter! </t>
  </si>
  <si>
    <t>Azimut (°)</t>
  </si>
  <si>
    <t>Höhe (°)</t>
  </si>
  <si>
    <t>Stundenwinkel (°)</t>
  </si>
  <si>
    <t>min</t>
  </si>
  <si>
    <t>Uhrzeit (MEZ)</t>
  </si>
  <si>
    <t>in Abhängigkeit vom Ort (geographische Breite/Länge) und Zeit (MEZ).</t>
  </si>
  <si>
    <r>
      <t xml:space="preserve">Deklination </t>
    </r>
    <r>
      <rPr>
        <b/>
        <sz val="14"/>
        <color theme="1"/>
        <rFont val="Symbol"/>
        <family val="1"/>
        <charset val="2"/>
      </rPr>
      <t>d</t>
    </r>
    <r>
      <rPr>
        <b/>
        <sz val="14"/>
        <color theme="1"/>
        <rFont val="Calibri"/>
        <family val="2"/>
        <scheme val="minor"/>
      </rPr>
      <t xml:space="preserve"> </t>
    </r>
  </si>
  <si>
    <t>MEZ</t>
  </si>
  <si>
    <t>Das Programm basiert auf Mitteleuropäischer Zeit. Die mittlere Sonnenzeit (MSZ) wird aus der Differenz der geographischen Länge zum Bezugsmeridian (15° Ost) errechnet.</t>
  </si>
  <si>
    <r>
      <t xml:space="preserve">Programm zur Berechnung und graphischen Darstellung der </t>
    </r>
    <r>
      <rPr>
        <b/>
        <sz val="14"/>
        <color theme="1"/>
        <rFont val="Calibri"/>
        <family val="2"/>
        <scheme val="minor"/>
      </rPr>
      <t>Höhe</t>
    </r>
    <r>
      <rPr>
        <sz val="14"/>
        <color theme="1"/>
        <rFont val="Calibri"/>
        <family val="2"/>
        <scheme val="minor"/>
      </rPr>
      <t xml:space="preserve"> (Horizontwinkel) und des </t>
    </r>
    <r>
      <rPr>
        <b/>
        <sz val="14"/>
        <color theme="1"/>
        <rFont val="Calibri"/>
        <family val="2"/>
        <scheme val="minor"/>
      </rPr>
      <t>Azimuts</t>
    </r>
    <r>
      <rPr>
        <sz val="14"/>
        <color theme="1"/>
        <rFont val="Calibri"/>
        <family val="2"/>
        <scheme val="minor"/>
      </rPr>
      <t xml:space="preserve"> (Himmelsrichtung) der Sonne </t>
    </r>
  </si>
  <si>
    <t>Mittlere Ortszeit (MOZ)</t>
  </si>
  <si>
    <t>Wahre Sonnenzeit (WSZ)</t>
  </si>
  <si>
    <t>Zeitgleichung</t>
  </si>
  <si>
    <t>ZG</t>
  </si>
  <si>
    <t>h (MEZ)</t>
  </si>
  <si>
    <t>Negative Werte: Die Sonne ist unter dem Horizont.</t>
  </si>
  <si>
    <t>Transit</t>
  </si>
  <si>
    <t>Aufgang</t>
  </si>
  <si>
    <t>Untergang</t>
  </si>
  <si>
    <t>Aufgang / Untergang</t>
  </si>
  <si>
    <t>SA</t>
  </si>
  <si>
    <t>SU</t>
  </si>
  <si>
    <t>Tage seit</t>
  </si>
  <si>
    <t>´</t>
  </si>
  <si>
    <t>FORMELN: WIKIPEDIA ("Sonnenstand" / "Position of the Sun"). http://lexikon.astronomie.info/zeitgleichung</t>
  </si>
  <si>
    <t>Berücksichtigt ist die Zeitgleichung als Funktion der Tageszahl (Tage nach Jahresbeginn). Während der Sommerzeit (MESZ, +1 h) fügen Sie bitte gedanklich eine Stunde hinzu.</t>
  </si>
  <si>
    <t>Bei den Sonnenauf- und -untergangszeiten kann es zu Ungenauigkeiten kommen. Das liegt daran, dass die Deklination der Sonne hier mit einer relativ einfachen Formel berechnet wird.</t>
  </si>
  <si>
    <t>wie hoch und wo am Himmel?</t>
  </si>
  <si>
    <t>um</t>
  </si>
  <si>
    <t>Aufgang*</t>
  </si>
  <si>
    <t>Untergang*</t>
  </si>
  <si>
    <t>*) Zeiten können von "offiziellen" Werten um einige Minuten abweichen!</t>
  </si>
  <si>
    <t>Stundenwinkel</t>
  </si>
  <si>
    <t>Korrektur bei Tageswechsel, Dadurch kein Überschreiten des Wertebereichs &gt;-180&lt;0&lt;+180</t>
  </si>
  <si>
    <t>Azimut Aufgang / Untergang</t>
  </si>
  <si>
    <r>
      <rPr>
        <sz val="14"/>
        <color theme="1"/>
        <rFont val="Symbol"/>
        <family val="1"/>
        <charset val="2"/>
      </rPr>
      <t xml:space="preserve"> j</t>
    </r>
    <r>
      <rPr>
        <sz val="14"/>
        <color theme="1"/>
        <rFont val="Calibri"/>
        <family val="2"/>
        <scheme val="minor"/>
      </rPr>
      <t xml:space="preserve"> &lt; </t>
    </r>
    <r>
      <rPr>
        <sz val="14"/>
        <color theme="1"/>
        <rFont val="Symbol"/>
        <family val="1"/>
        <charset val="2"/>
      </rPr>
      <t>d</t>
    </r>
    <r>
      <rPr>
        <sz val="14"/>
        <color theme="1"/>
        <rFont val="Calibri"/>
        <family val="2"/>
        <scheme val="minor"/>
      </rPr>
      <t xml:space="preserve"> = 0°, </t>
    </r>
    <r>
      <rPr>
        <sz val="14"/>
        <color theme="1"/>
        <rFont val="Symbol"/>
        <family val="1"/>
        <charset val="2"/>
      </rPr>
      <t xml:space="preserve">j </t>
    </r>
    <r>
      <rPr>
        <sz val="14"/>
        <color theme="1"/>
        <rFont val="Calibri"/>
        <family val="2"/>
        <scheme val="minor"/>
      </rPr>
      <t xml:space="preserve">&gt; </t>
    </r>
    <r>
      <rPr>
        <sz val="14"/>
        <color theme="1"/>
        <rFont val="Symbol"/>
        <family val="1"/>
        <charset val="2"/>
      </rPr>
      <t>d</t>
    </r>
    <r>
      <rPr>
        <sz val="14"/>
        <color theme="1"/>
        <rFont val="Calibri"/>
        <family val="2"/>
        <scheme val="minor"/>
      </rPr>
      <t xml:space="preserve"> = 180°</t>
    </r>
  </si>
  <si>
    <r>
      <t xml:space="preserve">360°/24h = 15 </t>
    </r>
    <r>
      <rPr>
        <sz val="12"/>
        <color theme="1"/>
        <rFont val="Arial"/>
        <family val="2"/>
      </rPr>
      <t>→ Stundenwinkel = Uhrzeit(WSZ)*15</t>
    </r>
  </si>
  <si>
    <r>
      <t>MEZ - (15-</t>
    </r>
    <r>
      <rPr>
        <sz val="12"/>
        <color theme="1"/>
        <rFont val="Symbol"/>
        <family val="1"/>
        <charset val="2"/>
      </rPr>
      <t>l</t>
    </r>
    <r>
      <rPr>
        <sz val="12"/>
        <color theme="1"/>
        <rFont val="Calibri"/>
        <family val="2"/>
        <scheme val="minor"/>
      </rPr>
      <t>)/15</t>
    </r>
  </si>
  <si>
    <t>Azimutwinkel</t>
  </si>
  <si>
    <t>Azmutwinkel</t>
  </si>
  <si>
    <t xml:space="preserve">Wo und wann steht die Sonne am </t>
  </si>
  <si>
    <r>
      <t xml:space="preserve">Deklination </t>
    </r>
    <r>
      <rPr>
        <sz val="14"/>
        <color theme="1"/>
        <rFont val="Symbol"/>
        <family val="1"/>
        <charset val="2"/>
      </rPr>
      <t>d</t>
    </r>
    <r>
      <rPr>
        <sz val="14"/>
        <color theme="1"/>
        <rFont val="Calibri"/>
        <family val="2"/>
        <scheme val="minor"/>
      </rPr>
      <t xml:space="preserve"> </t>
    </r>
  </si>
  <si>
    <t>d</t>
  </si>
  <si>
    <t>Globaler</t>
  </si>
  <si>
    <r>
      <t xml:space="preserve">Azimut </t>
    </r>
    <r>
      <rPr>
        <b/>
        <sz val="11"/>
        <color theme="1"/>
        <rFont val="Calibri"/>
        <family val="2"/>
        <scheme val="minor"/>
      </rPr>
      <t>(0-360°)</t>
    </r>
  </si>
  <si>
    <t>Langversion mit Berechnungen und  Formeln auf Tabellenblatt 2!</t>
  </si>
  <si>
    <t>►</t>
  </si>
  <si>
    <t xml:space="preserve">° </t>
  </si>
  <si>
    <t>Süden (180°) und Westen (270°) gezählt</t>
  </si>
  <si>
    <t>N= Anzahl Tage nach Jahresbeginn, 284 Tage : Frühjahrs-Tag/Nachtgleiche bis Neujahr</t>
  </si>
  <si>
    <r>
      <t xml:space="preserve">Die </t>
    </r>
    <r>
      <rPr>
        <b/>
        <sz val="11"/>
        <color theme="1"/>
        <rFont val="Calibri"/>
        <family val="2"/>
        <scheme val="minor"/>
      </rPr>
      <t>Höhe</t>
    </r>
    <r>
      <rPr>
        <sz val="11"/>
        <color theme="1"/>
        <rFont val="Calibri"/>
        <family val="2"/>
        <scheme val="minor"/>
      </rPr>
      <t xml:space="preserve"> ist der Winkelabstand senkrecht zum Horizont in Grad.</t>
    </r>
  </si>
  <si>
    <r>
      <t xml:space="preserve">Der </t>
    </r>
    <r>
      <rPr>
        <b/>
        <sz val="11"/>
        <color theme="1"/>
        <rFont val="Calibri"/>
        <family val="2"/>
        <scheme val="minor"/>
      </rPr>
      <t>Azimut</t>
    </r>
    <r>
      <rPr>
        <sz val="11"/>
        <color theme="1"/>
        <rFont val="Calibri"/>
        <family val="2"/>
        <scheme val="minor"/>
      </rPr>
      <t xml:space="preserve"> wird rechtslaufend von Norden (0°) über Osten (90°), </t>
    </r>
  </si>
  <si>
    <r>
      <rPr>
        <b/>
        <sz val="11"/>
        <color theme="1"/>
        <rFont val="Calibri"/>
        <family val="2"/>
        <scheme val="minor"/>
      </rPr>
      <t>Azimutwinkel</t>
    </r>
    <r>
      <rPr>
        <sz val="11"/>
        <color theme="1"/>
        <rFont val="Calibri"/>
        <family val="2"/>
        <scheme val="minor"/>
      </rPr>
      <t xml:space="preserve">(AZ) in Azimut:AZ &lt;=180 </t>
    </r>
    <r>
      <rPr>
        <sz val="11"/>
        <color theme="1"/>
        <rFont val="Arial"/>
        <family val="2"/>
      </rPr>
      <t>→ AZ= Azimut, AZ&gt;180 → 360°-AZ</t>
    </r>
  </si>
  <si>
    <r>
      <rPr>
        <b/>
        <sz val="11"/>
        <color theme="1"/>
        <rFont val="Calibri"/>
        <family val="2"/>
        <scheme val="minor"/>
      </rPr>
      <t>Deklination</t>
    </r>
    <r>
      <rPr>
        <sz val="11"/>
        <color theme="1"/>
        <rFont val="Calibri"/>
        <family val="2"/>
        <scheme val="minor"/>
      </rPr>
      <t>: Jahreszeitlich variierender Winkel zum Himmelsäquator (0°)</t>
    </r>
  </si>
  <si>
    <r>
      <rPr>
        <b/>
        <sz val="11"/>
        <color theme="1"/>
        <rFont val="Calibri"/>
        <family val="2"/>
        <scheme val="minor"/>
      </rPr>
      <t>Zeitgleichung</t>
    </r>
    <r>
      <rPr>
        <sz val="11"/>
        <color theme="1"/>
        <rFont val="Calibri"/>
        <family val="2"/>
        <scheme val="minor"/>
      </rPr>
      <t>: Zeitunterschied zwischen mittlerer und wahrer Sonnen-/Ortszeit</t>
    </r>
  </si>
  <si>
    <t>Halber Tagbogen</t>
  </si>
  <si>
    <t>Sonne im Zenit</t>
  </si>
  <si>
    <t>Differenz Uhrzeit/Transit</t>
  </si>
  <si>
    <t>Differenz (Uhrzeit/Kulmination)</t>
  </si>
  <si>
    <t>LÄNGE</t>
  </si>
  <si>
    <t>BREITE</t>
  </si>
  <si>
    <t>Länge</t>
  </si>
  <si>
    <t>Breite</t>
  </si>
  <si>
    <t>Beobachter</t>
  </si>
  <si>
    <t>SONNE im ZENIT:</t>
  </si>
  <si>
    <t>Sonne</t>
  </si>
  <si>
    <t>Wahrer Mittag</t>
  </si>
  <si>
    <t>Mittagshöhe</t>
  </si>
  <si>
    <t>Tageslänge</t>
  </si>
  <si>
    <t>Aufgangswinkel</t>
  </si>
  <si>
    <t>Auf-/Untergangsgangswinkel</t>
  </si>
  <si>
    <t>Version 10.03.18/Me</t>
  </si>
  <si>
    <t xml:space="preserve">Mittagshöhe </t>
  </si>
  <si>
    <t xml:space="preserve">Aufgangswinkel </t>
  </si>
  <si>
    <t>Ingo Mennerich 03/18</t>
  </si>
  <si>
    <t>"SONNENSTAND-ANZEIGER"</t>
  </si>
  <si>
    <t>Meridiandurchgang (Mittag)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</si>
</sst>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h:mm;@"/>
    <numFmt numFmtId="166" formatCode="0.0000"/>
    <numFmt numFmtId="167" formatCode="#,##0.0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26"/>
      <color theme="1"/>
      <name val="Calibri"/>
      <family val="2"/>
      <scheme val="minor"/>
    </font>
    <font>
      <sz val="14"/>
      <color theme="1"/>
      <name val="Symbol"/>
      <family val="1"/>
      <charset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Symbol"/>
      <family val="1"/>
      <charset val="2"/>
    </font>
    <font>
      <b/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sz val="18"/>
      <color theme="1"/>
      <name val="Symbol"/>
      <family val="1"/>
      <charset val="2"/>
    </font>
    <font>
      <sz val="12"/>
      <color theme="1"/>
      <name val="Arial"/>
      <family val="2"/>
    </font>
    <font>
      <sz val="12"/>
      <color theme="1"/>
      <name val="Symbol"/>
      <family val="1"/>
      <charset val="2"/>
    </font>
    <font>
      <sz val="11"/>
      <color theme="1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99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0" xfId="0" applyFill="1"/>
    <xf numFmtId="0" fontId="0" fillId="0" borderId="0" xfId="0" applyFill="1" applyProtection="1"/>
    <xf numFmtId="0" fontId="0" fillId="3" borderId="0" xfId="0" applyFill="1" applyProtection="1"/>
    <xf numFmtId="0" fontId="0" fillId="0" borderId="0" xfId="0" applyProtection="1"/>
    <xf numFmtId="0" fontId="3" fillId="0" borderId="0" xfId="0" applyFont="1" applyProtection="1"/>
    <xf numFmtId="0" fontId="2" fillId="3" borderId="0" xfId="0" applyFont="1" applyFill="1" applyProtection="1"/>
    <xf numFmtId="0" fontId="11" fillId="0" borderId="0" xfId="0" applyFont="1" applyProtection="1"/>
    <xf numFmtId="14" fontId="11" fillId="0" borderId="0" xfId="0" applyNumberFormat="1" applyFont="1" applyProtection="1"/>
    <xf numFmtId="0" fontId="2" fillId="0" borderId="0" xfId="0" applyFont="1" applyProtection="1"/>
    <xf numFmtId="0" fontId="0" fillId="0" borderId="0" xfId="0" applyFont="1" applyProtection="1"/>
    <xf numFmtId="14" fontId="0" fillId="0" borderId="0" xfId="0" applyNumberFormat="1" applyProtection="1"/>
    <xf numFmtId="0" fontId="0" fillId="2" borderId="0" xfId="0" applyFill="1" applyProtection="1"/>
    <xf numFmtId="0" fontId="8" fillId="0" borderId="0" xfId="0" applyFont="1" applyProtection="1"/>
    <xf numFmtId="0" fontId="4" fillId="0" borderId="0" xfId="0" applyFont="1" applyProtection="1"/>
    <xf numFmtId="0" fontId="10" fillId="0" borderId="0" xfId="0" applyFont="1" applyFill="1" applyBorder="1" applyProtection="1"/>
    <xf numFmtId="14" fontId="0" fillId="0" borderId="0" xfId="0" applyNumberFormat="1" applyAlignment="1" applyProtection="1">
      <alignment horizontal="right"/>
    </xf>
    <xf numFmtId="0" fontId="1" fillId="0" borderId="0" xfId="0" applyFont="1" applyProtection="1"/>
    <xf numFmtId="0" fontId="1" fillId="2" borderId="0" xfId="0" applyFont="1" applyFill="1" applyProtection="1"/>
    <xf numFmtId="0" fontId="5" fillId="2" borderId="0" xfId="0" applyFont="1" applyFill="1" applyProtection="1"/>
    <xf numFmtId="0" fontId="1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2" fillId="0" borderId="0" xfId="0" applyFont="1" applyAlignment="1" applyProtection="1">
      <alignment horizontal="right"/>
    </xf>
    <xf numFmtId="164" fontId="6" fillId="0" borderId="0" xfId="0" applyNumberFormat="1" applyFont="1" applyProtection="1"/>
    <xf numFmtId="0" fontId="6" fillId="0" borderId="0" xfId="0" applyFont="1" applyProtection="1"/>
    <xf numFmtId="0" fontId="1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164" fontId="0" fillId="0" borderId="0" xfId="0" applyNumberFormat="1"/>
    <xf numFmtId="164" fontId="1" fillId="0" borderId="0" xfId="0" applyNumberFormat="1" applyFont="1"/>
    <xf numFmtId="165" fontId="13" fillId="0" borderId="0" xfId="0" applyNumberFormat="1" applyFont="1" applyAlignment="1">
      <alignment horizontal="right" vertical="center"/>
    </xf>
    <xf numFmtId="1" fontId="13" fillId="0" borderId="0" xfId="0" applyNumberFormat="1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0" fontId="0" fillId="0" borderId="0" xfId="0" applyBorder="1"/>
    <xf numFmtId="164" fontId="0" fillId="0" borderId="0" xfId="0" applyNumberFormat="1" applyProtection="1"/>
    <xf numFmtId="1" fontId="0" fillId="0" borderId="0" xfId="0" applyNumberFormat="1" applyProtection="1"/>
    <xf numFmtId="14" fontId="0" fillId="0" borderId="0" xfId="0" applyNumberFormat="1" applyFill="1" applyAlignment="1" applyProtection="1">
      <alignment horizontal="right"/>
    </xf>
    <xf numFmtId="0" fontId="15" fillId="0" borderId="0" xfId="0" applyFont="1" applyProtection="1"/>
    <xf numFmtId="14" fontId="0" fillId="0" borderId="0" xfId="0" applyNumberFormat="1" applyFill="1" applyAlignment="1" applyProtection="1">
      <alignment horizontal="left"/>
    </xf>
    <xf numFmtId="2" fontId="0" fillId="0" borderId="0" xfId="0" applyNumberFormat="1" applyProtection="1"/>
    <xf numFmtId="164" fontId="1" fillId="0" borderId="0" xfId="0" applyNumberFormat="1" applyFont="1" applyAlignment="1" applyProtection="1">
      <alignment horizontal="right"/>
    </xf>
    <xf numFmtId="0" fontId="8" fillId="0" borderId="0" xfId="0" applyFont="1" applyAlignment="1" applyProtection="1">
      <alignment vertical="center"/>
    </xf>
    <xf numFmtId="2" fontId="7" fillId="0" borderId="0" xfId="0" applyNumberFormat="1" applyFont="1" applyFill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7" fillId="0" borderId="0" xfId="0" applyFont="1" applyProtection="1"/>
    <xf numFmtId="0" fontId="2" fillId="0" borderId="0" xfId="0" applyFont="1" applyAlignment="1" applyProtection="1">
      <alignment horizontal="left" vertical="center"/>
    </xf>
    <xf numFmtId="164" fontId="7" fillId="6" borderId="1" xfId="0" applyNumberFormat="1" applyFont="1" applyFill="1" applyBorder="1" applyProtection="1"/>
    <xf numFmtId="164" fontId="16" fillId="6" borderId="1" xfId="0" applyNumberFormat="1" applyFont="1" applyFill="1" applyBorder="1" applyProtection="1"/>
    <xf numFmtId="3" fontId="20" fillId="5" borderId="0" xfId="0" applyNumberFormat="1" applyFont="1" applyFill="1" applyProtection="1"/>
    <xf numFmtId="0" fontId="18" fillId="5" borderId="0" xfId="0" applyFont="1" applyFill="1" applyProtection="1"/>
    <xf numFmtId="0" fontId="8" fillId="5" borderId="0" xfId="0" applyFont="1" applyFill="1" applyProtection="1"/>
    <xf numFmtId="0" fontId="1" fillId="5" borderId="0" xfId="0" applyFont="1" applyFill="1" applyProtection="1"/>
    <xf numFmtId="164" fontId="20" fillId="5" borderId="0" xfId="0" applyNumberFormat="1" applyFont="1" applyFill="1" applyProtection="1"/>
    <xf numFmtId="0" fontId="21" fillId="0" borderId="0" xfId="0" applyFont="1" applyProtection="1"/>
    <xf numFmtId="0" fontId="11" fillId="0" borderId="0" xfId="0" applyFont="1" applyFill="1" applyProtection="1"/>
    <xf numFmtId="1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right"/>
    </xf>
    <xf numFmtId="2" fontId="7" fillId="0" borderId="0" xfId="0" applyNumberFormat="1" applyFont="1" applyProtection="1"/>
    <xf numFmtId="0" fontId="11" fillId="7" borderId="0" xfId="0" applyFont="1" applyFill="1" applyProtection="1"/>
    <xf numFmtId="165" fontId="8" fillId="7" borderId="0" xfId="0" applyNumberFormat="1" applyFont="1" applyFill="1" applyProtection="1"/>
    <xf numFmtId="0" fontId="11" fillId="0" borderId="0" xfId="0" applyFont="1" applyFill="1" applyBorder="1" applyProtection="1"/>
    <xf numFmtId="165" fontId="8" fillId="7" borderId="0" xfId="0" applyNumberFormat="1" applyFont="1" applyFill="1" applyAlignment="1" applyProtection="1">
      <alignment horizontal="center"/>
    </xf>
    <xf numFmtId="0" fontId="0" fillId="8" borderId="0" xfId="0" applyFill="1" applyProtection="1"/>
    <xf numFmtId="0" fontId="11" fillId="0" borderId="0" xfId="0" applyFont="1" applyAlignment="1" applyProtection="1">
      <alignment horizontal="left"/>
    </xf>
    <xf numFmtId="2" fontId="7" fillId="0" borderId="0" xfId="0" applyNumberFormat="1" applyFont="1" applyFill="1" applyBorder="1" applyAlignment="1" applyProtection="1">
      <alignment vertical="center"/>
    </xf>
    <xf numFmtId="2" fontId="25" fillId="0" borderId="0" xfId="0" applyNumberFormat="1" applyFont="1" applyProtection="1"/>
    <xf numFmtId="1" fontId="23" fillId="0" borderId="0" xfId="0" applyNumberFormat="1" applyFont="1" applyAlignment="1" applyProtection="1">
      <alignment horizontal="center" shrinkToFit="1"/>
    </xf>
    <xf numFmtId="1" fontId="0" fillId="0" borderId="0" xfId="0" applyNumberFormat="1" applyAlignment="1" applyProtection="1">
      <alignment horizontal="center"/>
    </xf>
    <xf numFmtId="0" fontId="23" fillId="0" borderId="0" xfId="0" applyFont="1" applyAlignment="1" applyProtection="1">
      <alignment horizontal="left"/>
    </xf>
    <xf numFmtId="0" fontId="18" fillId="0" borderId="0" xfId="0" applyFont="1" applyProtection="1"/>
    <xf numFmtId="14" fontId="11" fillId="0" borderId="0" xfId="0" applyNumberFormat="1" applyFont="1" applyAlignment="1" applyProtection="1">
      <alignment horizontal="center"/>
    </xf>
    <xf numFmtId="0" fontId="7" fillId="5" borderId="1" xfId="0" applyFont="1" applyFill="1" applyBorder="1" applyProtection="1"/>
    <xf numFmtId="165" fontId="7" fillId="5" borderId="1" xfId="0" applyNumberFormat="1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2" fontId="7" fillId="0" borderId="0" xfId="0" applyNumberFormat="1" applyFont="1" applyAlignment="1" applyProtection="1">
      <alignment vertical="center"/>
    </xf>
    <xf numFmtId="1" fontId="7" fillId="5" borderId="1" xfId="0" applyNumberFormat="1" applyFont="1" applyFill="1" applyBorder="1" applyProtection="1"/>
    <xf numFmtId="164" fontId="7" fillId="5" borderId="1" xfId="0" applyNumberFormat="1" applyFont="1" applyFill="1" applyBorder="1" applyProtection="1"/>
    <xf numFmtId="165" fontId="7" fillId="5" borderId="1" xfId="0" applyNumberFormat="1" applyFont="1" applyFill="1" applyBorder="1" applyProtection="1"/>
    <xf numFmtId="165" fontId="7" fillId="0" borderId="0" xfId="0" applyNumberFormat="1" applyFont="1" applyFill="1" applyBorder="1" applyProtection="1"/>
    <xf numFmtId="0" fontId="8" fillId="0" borderId="0" xfId="0" applyFont="1" applyFill="1" applyProtection="1"/>
    <xf numFmtId="0" fontId="0" fillId="0" borderId="0" xfId="0" applyAlignment="1" applyProtection="1">
      <alignment horizontal="left" vertical="center"/>
    </xf>
    <xf numFmtId="20" fontId="10" fillId="0" borderId="0" xfId="0" applyNumberFormat="1" applyFont="1" applyFill="1" applyBorder="1" applyProtection="1"/>
    <xf numFmtId="0" fontId="17" fillId="0" borderId="0" xfId="0" applyFont="1" applyAlignment="1" applyProtection="1">
      <alignment vertical="center"/>
    </xf>
    <xf numFmtId="2" fontId="7" fillId="0" borderId="1" xfId="0" applyNumberFormat="1" applyFont="1" applyBorder="1" applyProtection="1"/>
    <xf numFmtId="2" fontId="24" fillId="0" borderId="0" xfId="0" applyNumberFormat="1" applyFont="1" applyAlignment="1" applyProtection="1">
      <alignment vertical="center"/>
    </xf>
    <xf numFmtId="20" fontId="7" fillId="5" borderId="1" xfId="0" applyNumberFormat="1" applyFont="1" applyFill="1" applyBorder="1" applyAlignment="1" applyProtection="1">
      <alignment vertical="center"/>
    </xf>
    <xf numFmtId="2" fontId="24" fillId="0" borderId="0" xfId="0" applyNumberFormat="1" applyFont="1" applyProtection="1"/>
    <xf numFmtId="20" fontId="0" fillId="0" borderId="0" xfId="0" applyNumberFormat="1" applyProtection="1"/>
    <xf numFmtId="0" fontId="20" fillId="0" borderId="0" xfId="0" applyFont="1" applyProtection="1"/>
    <xf numFmtId="14" fontId="20" fillId="5" borderId="0" xfId="0" applyNumberFormat="1" applyFont="1" applyFill="1" applyBorder="1" applyProtection="1"/>
    <xf numFmtId="165" fontId="20" fillId="5" borderId="0" xfId="0" applyNumberFormat="1" applyFont="1" applyFill="1" applyProtection="1"/>
    <xf numFmtId="164" fontId="14" fillId="0" borderId="0" xfId="0" applyNumberFormat="1" applyFont="1" applyAlignment="1" applyProtection="1">
      <alignment horizontal="right" vertical="center" wrapText="1"/>
    </xf>
    <xf numFmtId="164" fontId="14" fillId="0" borderId="0" xfId="0" applyNumberFormat="1" applyFont="1" applyProtection="1"/>
    <xf numFmtId="0" fontId="0" fillId="0" borderId="0" xfId="0" applyBorder="1" applyProtection="1"/>
    <xf numFmtId="0" fontId="12" fillId="0" borderId="0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 vertical="center" wrapText="1"/>
    </xf>
    <xf numFmtId="0" fontId="8" fillId="0" borderId="0" xfId="0" applyFont="1"/>
    <xf numFmtId="2" fontId="7" fillId="5" borderId="1" xfId="0" applyNumberFormat="1" applyFont="1" applyFill="1" applyBorder="1" applyProtection="1"/>
    <xf numFmtId="0" fontId="18" fillId="0" borderId="0" xfId="0" applyFont="1" applyAlignment="1" applyProtection="1">
      <alignment vertical="top"/>
    </xf>
    <xf numFmtId="3" fontId="11" fillId="0" borderId="0" xfId="0" applyNumberFormat="1" applyFont="1" applyProtection="1"/>
    <xf numFmtId="14" fontId="11" fillId="0" borderId="0" xfId="0" applyNumberFormat="1" applyFont="1" applyFill="1" applyBorder="1" applyProtection="1"/>
    <xf numFmtId="1" fontId="18" fillId="0" borderId="0" xfId="0" applyNumberFormat="1" applyFont="1" applyFill="1" applyBorder="1" applyProtection="1"/>
    <xf numFmtId="0" fontId="11" fillId="0" borderId="0" xfId="0" applyFont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/>
    </xf>
    <xf numFmtId="0" fontId="20" fillId="4" borderId="1" xfId="0" applyFont="1" applyFill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</xf>
    <xf numFmtId="14" fontId="20" fillId="4" borderId="1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1" fontId="20" fillId="4" borderId="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5" fillId="0" borderId="0" xfId="0" applyFont="1" applyProtection="1"/>
    <xf numFmtId="0" fontId="26" fillId="0" borderId="0" xfId="0" applyFont="1" applyProtection="1"/>
    <xf numFmtId="0" fontId="5" fillId="0" borderId="0" xfId="0" applyFont="1" applyAlignment="1" applyProtection="1">
      <alignment vertical="center"/>
    </xf>
    <xf numFmtId="1" fontId="16" fillId="0" borderId="0" xfId="0" applyNumberFormat="1" applyFont="1" applyProtection="1"/>
    <xf numFmtId="1" fontId="6" fillId="0" borderId="0" xfId="0" applyNumberFormat="1" applyFont="1" applyProtection="1"/>
    <xf numFmtId="1" fontId="1" fillId="0" borderId="0" xfId="0" applyNumberFormat="1" applyFont="1" applyProtection="1"/>
    <xf numFmtId="164" fontId="14" fillId="0" borderId="0" xfId="0" applyNumberFormat="1" applyFont="1" applyFill="1" applyBorder="1" applyAlignment="1" applyProtection="1">
      <alignment wrapText="1"/>
    </xf>
    <xf numFmtId="2" fontId="0" fillId="0" borderId="0" xfId="0" applyNumberFormat="1" applyAlignment="1" applyProtection="1">
      <alignment horizontal="right" vertical="center"/>
    </xf>
    <xf numFmtId="166" fontId="0" fillId="0" borderId="0" xfId="0" applyNumberFormat="1" applyProtection="1"/>
    <xf numFmtId="0" fontId="18" fillId="0" borderId="0" xfId="0" applyFont="1" applyAlignment="1" applyProtection="1">
      <alignment horizontal="center"/>
    </xf>
    <xf numFmtId="1" fontId="18" fillId="0" borderId="0" xfId="0" applyNumberFormat="1" applyFont="1" applyAlignment="1" applyProtection="1">
      <alignment horizontal="left"/>
    </xf>
    <xf numFmtId="165" fontId="11" fillId="0" borderId="0" xfId="0" applyNumberFormat="1" applyFont="1" applyProtection="1"/>
    <xf numFmtId="0" fontId="22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top"/>
    </xf>
    <xf numFmtId="14" fontId="23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2" fontId="7" fillId="5" borderId="1" xfId="0" applyNumberFormat="1" applyFont="1" applyFill="1" applyBorder="1" applyAlignment="1" applyProtection="1">
      <alignment horizontal="right" vertical="center"/>
    </xf>
    <xf numFmtId="2" fontId="16" fillId="0" borderId="0" xfId="0" applyNumberFormat="1" applyFont="1" applyAlignment="1" applyProtection="1">
      <alignment vertical="center"/>
    </xf>
    <xf numFmtId="2" fontId="16" fillId="5" borderId="1" xfId="0" applyNumberFormat="1" applyFont="1" applyFill="1" applyBorder="1" applyAlignment="1" applyProtection="1">
      <alignment vertical="center"/>
    </xf>
    <xf numFmtId="1" fontId="16" fillId="5" borderId="1" xfId="0" applyNumberFormat="1" applyFont="1" applyFill="1" applyBorder="1" applyAlignment="1" applyProtection="1">
      <alignment vertical="center"/>
    </xf>
    <xf numFmtId="1" fontId="16" fillId="5" borderId="1" xfId="0" applyNumberFormat="1" applyFont="1" applyFill="1" applyBorder="1" applyAlignment="1" applyProtection="1">
      <alignment vertical="center" wrapText="1"/>
    </xf>
    <xf numFmtId="164" fontId="16" fillId="5" borderId="1" xfId="0" applyNumberFormat="1" applyFont="1" applyFill="1" applyBorder="1" applyAlignment="1" applyProtection="1">
      <alignment vertical="center"/>
    </xf>
    <xf numFmtId="165" fontId="16" fillId="5" borderId="1" xfId="0" applyNumberFormat="1" applyFont="1" applyFill="1" applyBorder="1" applyAlignment="1" applyProtection="1">
      <alignment vertical="center"/>
    </xf>
    <xf numFmtId="1" fontId="16" fillId="0" borderId="0" xfId="0" applyNumberFormat="1" applyFont="1" applyFill="1" applyBorder="1" applyAlignment="1" applyProtection="1">
      <alignment vertical="center"/>
    </xf>
    <xf numFmtId="165" fontId="16" fillId="5" borderId="1" xfId="0" applyNumberFormat="1" applyFont="1" applyFill="1" applyBorder="1" applyAlignment="1" applyProtection="1">
      <alignment horizontal="right" vertical="center"/>
    </xf>
    <xf numFmtId="1" fontId="16" fillId="5" borderId="1" xfId="0" applyNumberFormat="1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165" fontId="16" fillId="0" borderId="0" xfId="0" applyNumberFormat="1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165" fontId="16" fillId="5" borderId="1" xfId="0" applyNumberFormat="1" applyFont="1" applyFill="1" applyBorder="1" applyAlignment="1" applyProtection="1">
      <alignment horizontal="right"/>
    </xf>
    <xf numFmtId="0" fontId="30" fillId="0" borderId="0" xfId="0" applyFont="1" applyProtection="1"/>
    <xf numFmtId="0" fontId="8" fillId="0" borderId="0" xfId="0" applyFont="1" applyFill="1"/>
    <xf numFmtId="164" fontId="7" fillId="0" borderId="0" xfId="0" applyNumberFormat="1" applyFont="1" applyFill="1" applyBorder="1" applyProtection="1"/>
    <xf numFmtId="0" fontId="18" fillId="0" borderId="0" xfId="0" applyFont="1" applyFill="1" applyProtection="1"/>
    <xf numFmtId="2" fontId="7" fillId="0" borderId="0" xfId="0" applyNumberFormat="1" applyFont="1" applyFill="1" applyProtection="1"/>
    <xf numFmtId="2" fontId="6" fillId="0" borderId="0" xfId="0" applyNumberFormat="1" applyFont="1" applyProtection="1"/>
    <xf numFmtId="3" fontId="10" fillId="5" borderId="1" xfId="0" applyNumberFormat="1" applyFont="1" applyFill="1" applyBorder="1" applyProtection="1"/>
    <xf numFmtId="0" fontId="8" fillId="5" borderId="1" xfId="0" applyFont="1" applyFill="1" applyBorder="1" applyProtection="1"/>
    <xf numFmtId="1" fontId="10" fillId="5" borderId="1" xfId="0" applyNumberFormat="1" applyFont="1" applyFill="1" applyBorder="1" applyProtection="1"/>
    <xf numFmtId="1" fontId="8" fillId="5" borderId="1" xfId="0" applyNumberFormat="1" applyFont="1" applyFill="1" applyBorder="1" applyProtection="1"/>
    <xf numFmtId="14" fontId="10" fillId="5" borderId="1" xfId="0" applyNumberFormat="1" applyFont="1" applyFill="1" applyBorder="1" applyAlignment="1" applyProtection="1">
      <alignment horizontal="right" vertical="center"/>
    </xf>
    <xf numFmtId="0" fontId="10" fillId="6" borderId="0" xfId="0" applyFont="1" applyFill="1" applyBorder="1" applyProtection="1"/>
    <xf numFmtId="0" fontId="0" fillId="6" borderId="0" xfId="0" applyFill="1"/>
    <xf numFmtId="0" fontId="0" fillId="6" borderId="0" xfId="0" applyFill="1" applyProtection="1"/>
    <xf numFmtId="0" fontId="31" fillId="6" borderId="0" xfId="0" applyFont="1" applyFill="1" applyBorder="1"/>
    <xf numFmtId="2" fontId="31" fillId="6" borderId="0" xfId="0" applyNumberFormat="1" applyFont="1" applyFill="1" applyBorder="1" applyProtection="1"/>
    <xf numFmtId="0" fontId="31" fillId="6" borderId="0" xfId="0" applyFont="1" applyFill="1" applyBorder="1" applyProtection="1"/>
    <xf numFmtId="164" fontId="31" fillId="6" borderId="0" xfId="0" applyNumberFormat="1" applyFont="1" applyFill="1" applyBorder="1" applyProtection="1"/>
    <xf numFmtId="0" fontId="32" fillId="6" borderId="0" xfId="0" applyFont="1" applyFill="1" applyBorder="1"/>
    <xf numFmtId="0" fontId="0" fillId="6" borderId="0" xfId="0" applyFill="1" applyBorder="1" applyProtection="1"/>
    <xf numFmtId="2" fontId="14" fillId="6" borderId="0" xfId="0" applyNumberFormat="1" applyFont="1" applyFill="1" applyBorder="1" applyProtection="1"/>
    <xf numFmtId="0" fontId="0" fillId="6" borderId="0" xfId="0" applyFill="1" applyBorder="1"/>
    <xf numFmtId="0" fontId="14" fillId="6" borderId="0" xfId="0" applyFont="1" applyFill="1"/>
    <xf numFmtId="0" fontId="14" fillId="6" borderId="0" xfId="0" applyFont="1" applyFill="1" applyProtection="1"/>
    <xf numFmtId="2" fontId="14" fillId="6" borderId="0" xfId="0" applyNumberFormat="1" applyFont="1" applyFill="1"/>
    <xf numFmtId="2" fontId="14" fillId="6" borderId="0" xfId="0" applyNumberFormat="1" applyFont="1" applyFill="1" applyProtection="1"/>
    <xf numFmtId="165" fontId="8" fillId="5" borderId="0" xfId="0" applyNumberFormat="1" applyFont="1" applyFill="1" applyProtection="1"/>
    <xf numFmtId="165" fontId="8" fillId="0" borderId="0" xfId="0" applyNumberFormat="1" applyFont="1" applyFill="1" applyProtection="1"/>
    <xf numFmtId="165" fontId="8" fillId="0" borderId="0" xfId="0" applyNumberFormat="1" applyFont="1" applyFill="1" applyAlignment="1" applyProtection="1">
      <alignment horizontal="center"/>
    </xf>
    <xf numFmtId="0" fontId="11" fillId="5" borderId="0" xfId="0" applyFont="1" applyFill="1" applyAlignment="1" applyProtection="1">
      <alignment horizontal="right"/>
    </xf>
    <xf numFmtId="0" fontId="6" fillId="0" borderId="0" xfId="0" applyFont="1"/>
    <xf numFmtId="2" fontId="16" fillId="0" borderId="0" xfId="0" applyNumberFormat="1" applyFont="1" applyProtection="1"/>
    <xf numFmtId="0" fontId="6" fillId="0" borderId="0" xfId="0" applyFont="1" applyFill="1"/>
    <xf numFmtId="0" fontId="6" fillId="0" borderId="0" xfId="0" applyFont="1" applyFill="1" applyProtection="1"/>
    <xf numFmtId="0" fontId="7" fillId="0" borderId="0" xfId="0" applyFont="1" applyFill="1" applyBorder="1" applyProtection="1"/>
    <xf numFmtId="0" fontId="15" fillId="0" borderId="0" xfId="0" applyFont="1" applyFill="1" applyAlignment="1" applyProtection="1"/>
    <xf numFmtId="167" fontId="11" fillId="0" borderId="0" xfId="0" applyNumberFormat="1" applyFont="1" applyProtection="1"/>
    <xf numFmtId="1" fontId="16" fillId="5" borderId="1" xfId="0" applyNumberFormat="1" applyFont="1" applyFill="1" applyBorder="1" applyAlignment="1" applyProtection="1">
      <alignment horizontal="right"/>
    </xf>
    <xf numFmtId="2" fontId="6" fillId="0" borderId="0" xfId="0" applyNumberFormat="1" applyFont="1" applyFill="1" applyProtection="1"/>
    <xf numFmtId="3" fontId="6" fillId="0" borderId="0" xfId="0" applyNumberFormat="1" applyFont="1" applyFill="1" applyProtection="1"/>
    <xf numFmtId="2" fontId="7" fillId="5" borderId="0" xfId="0" applyNumberFormat="1" applyFont="1" applyFill="1" applyProtection="1"/>
    <xf numFmtId="2" fontId="16" fillId="5" borderId="1" xfId="0" applyNumberFormat="1" applyFont="1" applyFill="1" applyBorder="1" applyAlignment="1" applyProtection="1">
      <alignment horizontal="right"/>
    </xf>
    <xf numFmtId="0" fontId="0" fillId="0" borderId="0" xfId="0" applyFill="1" applyBorder="1" applyProtection="1"/>
    <xf numFmtId="165" fontId="23" fillId="0" borderId="0" xfId="0" applyNumberFormat="1" applyFont="1" applyFill="1" applyBorder="1" applyAlignment="1" applyProtection="1">
      <alignment horizontal="center" vertical="center"/>
    </xf>
    <xf numFmtId="164" fontId="6" fillId="5" borderId="1" xfId="0" applyNumberFormat="1" applyFont="1" applyFill="1" applyBorder="1" applyProtection="1"/>
    <xf numFmtId="14" fontId="8" fillId="4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9900"/>
      <color rgb="FFFF0000"/>
      <color rgb="FF66FF33"/>
      <color rgb="FF0D9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9056775252649486E-2"/>
          <c:y val="3.7175355710867893E-2"/>
          <c:w val="0.9657081306138936"/>
          <c:h val="0.94228341331980292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Tabelle2!$X$129</c:f>
              <c:strCache>
                <c:ptCount val="1"/>
                <c:pt idx="0">
                  <c:v>Höhe (°)</c:v>
                </c:pt>
              </c:strCache>
            </c:strRef>
          </c:tx>
          <c:spPr>
            <a:ln w="6350">
              <a:noFill/>
            </a:ln>
            <a:effectLst>
              <a:glow rad="228600">
                <a:schemeClr val="accent6">
                  <a:satMod val="175000"/>
                  <a:alpha val="40000"/>
                </a:schemeClr>
              </a:glow>
            </a:effectLst>
          </c:spPr>
          <c:marker>
            <c:symbol val="circle"/>
            <c:size val="15"/>
            <c:spPr>
              <a:solidFill>
                <a:srgbClr val="FFC000"/>
              </a:solidFill>
              <a:effectLst>
                <a:glow rad="228600">
                  <a:schemeClr val="accent6">
                    <a:satMod val="175000"/>
                    <a:alpha val="40000"/>
                  </a:schemeClr>
                </a:glow>
              </a:effectLst>
            </c:spPr>
          </c:marker>
          <c:xVal>
            <c:numRef>
              <c:f>Tabelle2!$W$130:$W$154</c:f>
              <c:numCache>
                <c:formatCode>0.00</c:formatCode>
                <c:ptCount val="25"/>
                <c:pt idx="0" formatCode="0.0">
                  <c:v>321.7812122821735</c:v>
                </c:pt>
              </c:numCache>
            </c:numRef>
          </c:xVal>
          <c:yVal>
            <c:numRef>
              <c:f>Tabelle2!$X$130:$X$154</c:f>
              <c:numCache>
                <c:formatCode>0.00</c:formatCode>
                <c:ptCount val="25"/>
                <c:pt idx="0" formatCode="0.0">
                  <c:v>-35.59135157085268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401600"/>
        <c:axId val="77206656"/>
      </c:scatterChart>
      <c:valAx>
        <c:axId val="69401600"/>
        <c:scaling>
          <c:orientation val="minMax"/>
          <c:max val="360"/>
          <c:min val="0"/>
        </c:scaling>
        <c:delete val="0"/>
        <c:axPos val="b"/>
        <c:majorGridlines>
          <c:spPr>
            <a:ln w="22225">
              <a:solidFill>
                <a:schemeClr val="accent1">
                  <a:shade val="50000"/>
                </a:schemeClr>
              </a:solidFill>
            </a:ln>
          </c:spPr>
        </c:majorGridlines>
        <c:min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de-DE"/>
          </a:p>
        </c:txPr>
        <c:crossAx val="77206656"/>
        <c:crosses val="autoZero"/>
        <c:crossBetween val="midCat"/>
        <c:majorUnit val="15"/>
        <c:minorUnit val="5"/>
      </c:valAx>
      <c:valAx>
        <c:axId val="77206656"/>
        <c:scaling>
          <c:orientation val="minMax"/>
          <c:max val="90"/>
          <c:min val="-90"/>
        </c:scaling>
        <c:delete val="0"/>
        <c:axPos val="l"/>
        <c:majorGridlines/>
        <c:minorGridlines/>
        <c:numFmt formatCode="0" sourceLinked="0"/>
        <c:majorTickMark val="out"/>
        <c:minorTickMark val="in"/>
        <c:tickLblPos val="nextTo"/>
        <c:crossAx val="69401600"/>
        <c:crosses val="autoZero"/>
        <c:crossBetween val="midCat"/>
        <c:majorUnit val="10"/>
        <c:minorUnit val="2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0"/>
            </a:pPr>
            <a:r>
              <a:rPr lang="en-US" sz="2000" b="0"/>
              <a:t>Höhe (°) und Azimut (°) der Sonne im Laufe von 24 Stunden</a:t>
            </a:r>
          </a:p>
          <a:p>
            <a:pPr>
              <a:defRPr sz="2000" b="0"/>
            </a:pPr>
            <a:r>
              <a:rPr lang="en-US" sz="1400" b="0"/>
              <a:t>Markierungsabstand 1 h,</a:t>
            </a:r>
            <a:r>
              <a:rPr lang="en-US" sz="1400" b="0" baseline="0"/>
              <a:t> </a:t>
            </a:r>
            <a:r>
              <a:rPr lang="en-US" sz="1400" b="0"/>
              <a:t>Maximum 12 h, Minimum 0/24 h Mittlere Sonnenzeit</a:t>
            </a:r>
          </a:p>
        </c:rich>
      </c:tx>
      <c:layout>
        <c:manualLayout>
          <c:xMode val="edge"/>
          <c:yMode val="edge"/>
          <c:x val="0.3076524949576672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9056775252649486E-2"/>
          <c:y val="0.21836736180410382"/>
          <c:w val="0.9657081306138936"/>
          <c:h val="0.76109143618842279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Tabelle2!$Z$129</c:f>
              <c:strCache>
                <c:ptCount val="1"/>
                <c:pt idx="0">
                  <c:v>Höhe (°)</c:v>
                </c:pt>
              </c:strCache>
            </c:strRef>
          </c:tx>
          <c:spPr>
            <a:ln w="6350">
              <a:noFill/>
            </a:ln>
            <a:effectLst>
              <a:glow rad="228600">
                <a:schemeClr val="accent6">
                  <a:satMod val="175000"/>
                  <a:alpha val="40000"/>
                </a:schemeClr>
              </a:glow>
            </a:effectLst>
          </c:spPr>
          <c:marker>
            <c:symbol val="circle"/>
            <c:size val="15"/>
            <c:spPr>
              <a:solidFill>
                <a:srgbClr val="FFC000"/>
              </a:solidFill>
              <a:effectLst>
                <a:glow rad="228600">
                  <a:schemeClr val="accent6">
                    <a:satMod val="175000"/>
                    <a:alpha val="40000"/>
                  </a:schemeClr>
                </a:glow>
              </a:effectLst>
            </c:spPr>
          </c:marker>
          <c:xVal>
            <c:numRef>
              <c:f>Tabelle2!$Y$130:$Y$154</c:f>
              <c:numCache>
                <c:formatCode>0.0</c:formatCode>
                <c:ptCount val="25"/>
                <c:pt idx="0">
                  <c:v>2.0060689906361728E-2</c:v>
                </c:pt>
                <c:pt idx="1">
                  <c:v>19.749761518576683</c:v>
                </c:pt>
                <c:pt idx="2">
                  <c:v>37.905219984571865</c:v>
                </c:pt>
                <c:pt idx="3">
                  <c:v>53.831457023553227</c:v>
                </c:pt>
                <c:pt idx="4">
                  <c:v>67.782579479749401</c:v>
                </c:pt>
                <c:pt idx="5">
                  <c:v>80.382798099860423</c:v>
                </c:pt>
                <c:pt idx="6">
                  <c:v>92.318414040866173</c:v>
                </c:pt>
                <c:pt idx="7">
                  <c:v>104.18969384398447</c:v>
                </c:pt>
                <c:pt idx="8">
                  <c:v>116.63235822276138</c:v>
                </c:pt>
                <c:pt idx="9">
                  <c:v>130.19697185450025</c:v>
                </c:pt>
                <c:pt idx="10">
                  <c:v>145.3232111051573</c:v>
                </c:pt>
                <c:pt idx="11">
                  <c:v>162.10251979018295</c:v>
                </c:pt>
                <c:pt idx="12">
                  <c:v>180.00012072975218</c:v>
                </c:pt>
                <c:pt idx="13">
                  <c:v>197.89748020981705</c:v>
                </c:pt>
                <c:pt idx="14">
                  <c:v>214.6767888948427</c:v>
                </c:pt>
                <c:pt idx="15">
                  <c:v>229.80302814549975</c:v>
                </c:pt>
                <c:pt idx="16">
                  <c:v>243.36764177723862</c:v>
                </c:pt>
                <c:pt idx="17">
                  <c:v>255.81030615601554</c:v>
                </c:pt>
                <c:pt idx="18">
                  <c:v>267.7051879886294</c:v>
                </c:pt>
                <c:pt idx="19">
                  <c:v>279.61720190013955</c:v>
                </c:pt>
                <c:pt idx="20">
                  <c:v>292.21742052025058</c:v>
                </c:pt>
                <c:pt idx="21">
                  <c:v>306.16854297644676</c:v>
                </c:pt>
                <c:pt idx="22">
                  <c:v>322.09478001542811</c:v>
                </c:pt>
                <c:pt idx="23">
                  <c:v>340.25023848142331</c:v>
                </c:pt>
                <c:pt idx="24">
                  <c:v>359.97993931009364</c:v>
                </c:pt>
              </c:numCache>
            </c:numRef>
          </c:xVal>
          <c:yVal>
            <c:numRef>
              <c:f>Tabelle2!$Z$130:$Z$154</c:f>
              <c:numCache>
                <c:formatCode>0.0</c:formatCode>
                <c:ptCount val="25"/>
                <c:pt idx="0">
                  <c:v>-41.743249497550345</c:v>
                </c:pt>
                <c:pt idx="1">
                  <c:v>-40.155208153648644</c:v>
                </c:pt>
                <c:pt idx="2">
                  <c:v>-35.69615784061714</c:v>
                </c:pt>
                <c:pt idx="3">
                  <c:v>-29.068531720565392</c:v>
                </c:pt>
                <c:pt idx="4">
                  <c:v>-21.015455258898406</c:v>
                </c:pt>
                <c:pt idx="5">
                  <c:v>-12.148766855641696</c:v>
                </c:pt>
                <c:pt idx="6">
                  <c:v>-2.9396985857865725</c:v>
                </c:pt>
                <c:pt idx="7">
                  <c:v>6.1746345758457091</c:v>
                </c:pt>
                <c:pt idx="8">
                  <c:v>14.816742859775683</c:v>
                </c:pt>
                <c:pt idx="9">
                  <c:v>22.517395610941481</c:v>
                </c:pt>
                <c:pt idx="10">
                  <c:v>28.72428647108735</c:v>
                </c:pt>
                <c:pt idx="11">
                  <c:v>32.817770312442704</c:v>
                </c:pt>
                <c:pt idx="12">
                  <c:v>34.256748885695828</c:v>
                </c:pt>
                <c:pt idx="13">
                  <c:v>32.817770312442704</c:v>
                </c:pt>
                <c:pt idx="14">
                  <c:v>28.72428647108735</c:v>
                </c:pt>
                <c:pt idx="15">
                  <c:v>22.517395610941481</c:v>
                </c:pt>
                <c:pt idx="16">
                  <c:v>14.816742859775683</c:v>
                </c:pt>
                <c:pt idx="17">
                  <c:v>6.1746345758457091</c:v>
                </c:pt>
                <c:pt idx="18">
                  <c:v>-2.9581534648441585</c:v>
                </c:pt>
                <c:pt idx="19">
                  <c:v>-12.148766855641696</c:v>
                </c:pt>
                <c:pt idx="20">
                  <c:v>-21.015455258898406</c:v>
                </c:pt>
                <c:pt idx="21">
                  <c:v>-29.068531720565392</c:v>
                </c:pt>
                <c:pt idx="22">
                  <c:v>-35.69615784061714</c:v>
                </c:pt>
                <c:pt idx="23">
                  <c:v>-40.155208153648644</c:v>
                </c:pt>
                <c:pt idx="24">
                  <c:v>-41.743249497550345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257344"/>
        <c:axId val="77799808"/>
      </c:scatterChart>
      <c:scatterChart>
        <c:scatterStyle val="lineMarker"/>
        <c:varyColors val="0"/>
        <c:ser>
          <c:idx val="1"/>
          <c:order val="1"/>
          <c:tx>
            <c:strRef>
              <c:f>Tabelle2!$AA$129</c:f>
              <c:strCache>
                <c:ptCount val="1"/>
                <c:pt idx="0">
                  <c:v>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xVal>
            <c:numRef>
              <c:f>Tabelle2!$Y$130:$Y$154</c:f>
              <c:numCache>
                <c:formatCode>0.0</c:formatCode>
                <c:ptCount val="25"/>
                <c:pt idx="0">
                  <c:v>2.0060689906361728E-2</c:v>
                </c:pt>
                <c:pt idx="1">
                  <c:v>19.749761518576683</c:v>
                </c:pt>
                <c:pt idx="2">
                  <c:v>37.905219984571865</c:v>
                </c:pt>
                <c:pt idx="3">
                  <c:v>53.831457023553227</c:v>
                </c:pt>
                <c:pt idx="4">
                  <c:v>67.782579479749401</c:v>
                </c:pt>
                <c:pt idx="5">
                  <c:v>80.382798099860423</c:v>
                </c:pt>
                <c:pt idx="6">
                  <c:v>92.318414040866173</c:v>
                </c:pt>
                <c:pt idx="7">
                  <c:v>104.18969384398447</c:v>
                </c:pt>
                <c:pt idx="8">
                  <c:v>116.63235822276138</c:v>
                </c:pt>
                <c:pt idx="9">
                  <c:v>130.19697185450025</c:v>
                </c:pt>
                <c:pt idx="10">
                  <c:v>145.3232111051573</c:v>
                </c:pt>
                <c:pt idx="11">
                  <c:v>162.10251979018295</c:v>
                </c:pt>
                <c:pt idx="12">
                  <c:v>180.00012072975218</c:v>
                </c:pt>
                <c:pt idx="13">
                  <c:v>197.89748020981705</c:v>
                </c:pt>
                <c:pt idx="14">
                  <c:v>214.6767888948427</c:v>
                </c:pt>
                <c:pt idx="15">
                  <c:v>229.80302814549975</c:v>
                </c:pt>
                <c:pt idx="16">
                  <c:v>243.36764177723862</c:v>
                </c:pt>
                <c:pt idx="17">
                  <c:v>255.81030615601554</c:v>
                </c:pt>
                <c:pt idx="18">
                  <c:v>267.7051879886294</c:v>
                </c:pt>
                <c:pt idx="19">
                  <c:v>279.61720190013955</c:v>
                </c:pt>
                <c:pt idx="20">
                  <c:v>292.21742052025058</c:v>
                </c:pt>
                <c:pt idx="21">
                  <c:v>306.16854297644676</c:v>
                </c:pt>
                <c:pt idx="22">
                  <c:v>322.09478001542811</c:v>
                </c:pt>
                <c:pt idx="23">
                  <c:v>340.25023848142331</c:v>
                </c:pt>
                <c:pt idx="24">
                  <c:v>359.97993931009364</c:v>
                </c:pt>
              </c:numCache>
            </c:numRef>
          </c:xVal>
          <c:yVal>
            <c:numRef>
              <c:f>Tabelle2!$AA$130:$AA$154</c:f>
              <c:numCache>
                <c:formatCode>0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802880"/>
        <c:axId val="77801344"/>
      </c:scatterChart>
      <c:valAx>
        <c:axId val="77257344"/>
        <c:scaling>
          <c:orientation val="minMax"/>
          <c:max val="360"/>
          <c:min val="0"/>
        </c:scaling>
        <c:delete val="0"/>
        <c:axPos val="b"/>
        <c:majorGridlines>
          <c:spPr>
            <a:ln w="22225">
              <a:solidFill>
                <a:schemeClr val="accent1">
                  <a:shade val="50000"/>
                </a:schemeClr>
              </a:solidFill>
            </a:ln>
          </c:spPr>
        </c:majorGridlines>
        <c:min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de-DE"/>
          </a:p>
        </c:txPr>
        <c:crossAx val="77799808"/>
        <c:crosses val="autoZero"/>
        <c:crossBetween val="midCat"/>
        <c:majorUnit val="15"/>
        <c:minorUnit val="5"/>
      </c:valAx>
      <c:valAx>
        <c:axId val="77799808"/>
        <c:scaling>
          <c:orientation val="minMax"/>
          <c:max val="90"/>
          <c:min val="-90"/>
        </c:scaling>
        <c:delete val="0"/>
        <c:axPos val="l"/>
        <c:majorGridlines/>
        <c:minorGridlines/>
        <c:numFmt formatCode="0" sourceLinked="0"/>
        <c:majorTickMark val="out"/>
        <c:minorTickMark val="in"/>
        <c:tickLblPos val="nextTo"/>
        <c:crossAx val="77257344"/>
        <c:crosses val="autoZero"/>
        <c:crossBetween val="midCat"/>
        <c:majorUnit val="10"/>
        <c:minorUnit val="2"/>
      </c:valAx>
      <c:valAx>
        <c:axId val="77801344"/>
        <c:scaling>
          <c:orientation val="minMax"/>
        </c:scaling>
        <c:delete val="1"/>
        <c:axPos val="r"/>
        <c:numFmt formatCode="0" sourceLinked="1"/>
        <c:majorTickMark val="out"/>
        <c:minorTickMark val="none"/>
        <c:tickLblPos val="nextTo"/>
        <c:crossAx val="77802880"/>
        <c:crosses val="max"/>
        <c:crossBetween val="midCat"/>
      </c:valAx>
      <c:valAx>
        <c:axId val="77802880"/>
        <c:scaling>
          <c:orientation val="minMax"/>
          <c:max val="24"/>
          <c:min val="0"/>
        </c:scaling>
        <c:delete val="1"/>
        <c:axPos val="t"/>
        <c:numFmt formatCode="0" sourceLinked="0"/>
        <c:majorTickMark val="out"/>
        <c:minorTickMark val="in"/>
        <c:tickLblPos val="nextTo"/>
        <c:crossAx val="77801344"/>
        <c:crosses val="max"/>
        <c:crossBetween val="midCat"/>
        <c:majorUnit val="1"/>
        <c:minorUnit val="0.25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309228996278753E-2"/>
          <c:y val="2.209456653739178E-2"/>
          <c:w val="0.96669682247165911"/>
          <c:h val="0.9657611156814353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Tabelle2!$S$149</c:f>
              <c:strCache>
                <c:ptCount val="1"/>
                <c:pt idx="0">
                  <c:v>Breite</c:v>
                </c:pt>
              </c:strCache>
            </c:strRef>
          </c:tx>
          <c:spPr>
            <a:ln w="28575">
              <a:noFill/>
            </a:ln>
            <a:effectLst/>
          </c:spPr>
          <c:marker>
            <c:symbol val="circle"/>
            <c:size val="8"/>
            <c:spPr>
              <a:solidFill>
                <a:srgbClr val="FFC000"/>
              </a:solidFill>
              <a:effectLst/>
            </c:spPr>
          </c:marker>
          <c:dPt>
            <c:idx val="0"/>
            <c:marker>
              <c:spPr>
                <a:solidFill>
                  <a:srgbClr val="FFC000"/>
                </a:solidFill>
                <a:effectLst>
                  <a:glow rad="228600">
                    <a:schemeClr val="accent6">
                      <a:satMod val="175000"/>
                      <a:alpha val="40000"/>
                    </a:schemeClr>
                  </a:glow>
                </a:effectLst>
              </c:spPr>
            </c:marker>
            <c:bubble3D val="0"/>
            <c:spPr>
              <a:ln w="28575">
                <a:noFill/>
              </a:ln>
              <a:effectLst>
                <a:glow rad="228600">
                  <a:schemeClr val="accent6">
                    <a:satMod val="175000"/>
                    <a:alpha val="40000"/>
                  </a:schemeClr>
                </a:glow>
              </a:effectLst>
            </c:spPr>
          </c:dPt>
          <c:dPt>
            <c:idx val="1"/>
            <c:marker>
              <c:symbol val="x"/>
              <c:size val="8"/>
              <c:spPr>
                <a:solidFill>
                  <a:srgbClr val="FF0000"/>
                </a:solidFill>
                <a:effectLst/>
              </c:spPr>
            </c:marker>
            <c:bubble3D val="0"/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Tabelle2!$U$150:$U$151</c:f>
              <c:numCache>
                <c:formatCode>0.00</c:formatCode>
                <c:ptCount val="2"/>
                <c:pt idx="0">
                  <c:v>-149.72387715485473</c:v>
                </c:pt>
                <c:pt idx="1">
                  <c:v>9</c:v>
                </c:pt>
              </c:numCache>
            </c:numRef>
          </c:xVal>
          <c:yVal>
            <c:numRef>
              <c:f>Tabelle2!$S$150:$S$151</c:f>
              <c:numCache>
                <c:formatCode>0.00</c:formatCode>
                <c:ptCount val="2"/>
                <c:pt idx="0">
                  <c:v>-3.7432511142393099</c:v>
                </c:pt>
                <c:pt idx="1">
                  <c:v>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846016"/>
        <c:axId val="77847552"/>
      </c:scatterChart>
      <c:valAx>
        <c:axId val="77846016"/>
        <c:scaling>
          <c:orientation val="minMax"/>
          <c:max val="180"/>
          <c:min val="-180"/>
        </c:scaling>
        <c:delete val="0"/>
        <c:axPos val="b"/>
        <c:majorGridlines>
          <c:spPr>
            <a:ln w="19050"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numFmt formatCode="0" sourceLinked="0"/>
        <c:majorTickMark val="cross"/>
        <c:minorTickMark val="none"/>
        <c:tickLblPos val="nextTo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77847552"/>
        <c:crosses val="autoZero"/>
        <c:crossBetween val="midCat"/>
        <c:majorUnit val="15"/>
        <c:minorUnit val="2"/>
      </c:valAx>
      <c:valAx>
        <c:axId val="77847552"/>
        <c:scaling>
          <c:orientation val="minMax"/>
          <c:max val="90"/>
          <c:min val="-90"/>
        </c:scaling>
        <c:delete val="0"/>
        <c:axPos val="l"/>
        <c:majorGridlines>
          <c:spPr>
            <a:ln w="19050"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0" sourceLinked="0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77846016"/>
        <c:crosses val="autoZero"/>
        <c:crossBetween val="midCat"/>
        <c:majorUnit val="10"/>
        <c:minorUnit val="2"/>
      </c:valAx>
      <c:spPr>
        <a:solidFill>
          <a:schemeClr val="accent1">
            <a:lumMod val="40000"/>
            <a:lumOff val="60000"/>
            <a:alpha val="26000"/>
          </a:schemeClr>
        </a:solidFill>
      </c:spPr>
    </c:plotArea>
    <c:plotVisOnly val="1"/>
    <c:dispBlanksAs val="gap"/>
    <c:showDLblsOverMax val="0"/>
  </c:chart>
  <c:spPr>
    <a:solidFill>
      <a:schemeClr val="bg1">
        <a:alpha val="5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2800" b="0"/>
              <a:t>Höhe (°) und Azimut (°) der Sonne im Laufe von 24 Stunden</a:t>
            </a:r>
          </a:p>
          <a:p>
            <a:pPr>
              <a:defRPr b="0"/>
            </a:pPr>
            <a:r>
              <a:rPr lang="en-US" b="0"/>
              <a:t>Markierungsabstand 1 h</a:t>
            </a:r>
          </a:p>
          <a:p>
            <a:pPr>
              <a:defRPr b="0"/>
            </a:pPr>
            <a:r>
              <a:rPr lang="en-US" b="0"/>
              <a:t>Maximum 12 h, Minimum 0/24 h Mittlere Sonnenzeit</a:t>
            </a:r>
          </a:p>
        </c:rich>
      </c:tx>
      <c:layout>
        <c:manualLayout>
          <c:xMode val="edge"/>
          <c:yMode val="edge"/>
          <c:x val="0.288641575705041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9056775252649486E-2"/>
          <c:y val="0.21836736180410382"/>
          <c:w val="0.9657081306138936"/>
          <c:h val="0.76109143618842279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Tabelle2!$Z$129</c:f>
              <c:strCache>
                <c:ptCount val="1"/>
                <c:pt idx="0">
                  <c:v>Höhe (°)</c:v>
                </c:pt>
              </c:strCache>
            </c:strRef>
          </c:tx>
          <c:spPr>
            <a:ln w="6350">
              <a:noFill/>
            </a:ln>
          </c:spPr>
          <c:marker>
            <c:symbol val="circle"/>
            <c:size val="15"/>
            <c:spPr>
              <a:solidFill>
                <a:srgbClr val="FFC000"/>
              </a:solidFill>
            </c:spPr>
          </c:marker>
          <c:xVal>
            <c:numRef>
              <c:f>Tabelle2!$Y$130:$Y$154</c:f>
              <c:numCache>
                <c:formatCode>0.0</c:formatCode>
                <c:ptCount val="25"/>
                <c:pt idx="0">
                  <c:v>2.0060689906361728E-2</c:v>
                </c:pt>
                <c:pt idx="1">
                  <c:v>19.749761518576683</c:v>
                </c:pt>
                <c:pt idx="2">
                  <c:v>37.905219984571865</c:v>
                </c:pt>
                <c:pt idx="3">
                  <c:v>53.831457023553227</c:v>
                </c:pt>
                <c:pt idx="4">
                  <c:v>67.782579479749401</c:v>
                </c:pt>
                <c:pt idx="5">
                  <c:v>80.382798099860423</c:v>
                </c:pt>
                <c:pt idx="6">
                  <c:v>92.318414040866173</c:v>
                </c:pt>
                <c:pt idx="7">
                  <c:v>104.18969384398447</c:v>
                </c:pt>
                <c:pt idx="8">
                  <c:v>116.63235822276138</c:v>
                </c:pt>
                <c:pt idx="9">
                  <c:v>130.19697185450025</c:v>
                </c:pt>
                <c:pt idx="10">
                  <c:v>145.3232111051573</c:v>
                </c:pt>
                <c:pt idx="11">
                  <c:v>162.10251979018295</c:v>
                </c:pt>
                <c:pt idx="12">
                  <c:v>180.00012072975218</c:v>
                </c:pt>
                <c:pt idx="13">
                  <c:v>197.89748020981705</c:v>
                </c:pt>
                <c:pt idx="14">
                  <c:v>214.6767888948427</c:v>
                </c:pt>
                <c:pt idx="15">
                  <c:v>229.80302814549975</c:v>
                </c:pt>
                <c:pt idx="16">
                  <c:v>243.36764177723862</c:v>
                </c:pt>
                <c:pt idx="17">
                  <c:v>255.81030615601554</c:v>
                </c:pt>
                <c:pt idx="18">
                  <c:v>267.7051879886294</c:v>
                </c:pt>
                <c:pt idx="19">
                  <c:v>279.61720190013955</c:v>
                </c:pt>
                <c:pt idx="20">
                  <c:v>292.21742052025058</c:v>
                </c:pt>
                <c:pt idx="21">
                  <c:v>306.16854297644676</c:v>
                </c:pt>
                <c:pt idx="22">
                  <c:v>322.09478001542811</c:v>
                </c:pt>
                <c:pt idx="23">
                  <c:v>340.25023848142331</c:v>
                </c:pt>
                <c:pt idx="24">
                  <c:v>359.97993931009364</c:v>
                </c:pt>
              </c:numCache>
            </c:numRef>
          </c:xVal>
          <c:yVal>
            <c:numRef>
              <c:f>Tabelle2!$Z$130:$Z$154</c:f>
              <c:numCache>
                <c:formatCode>0.0</c:formatCode>
                <c:ptCount val="25"/>
                <c:pt idx="0">
                  <c:v>-41.743249497550345</c:v>
                </c:pt>
                <c:pt idx="1">
                  <c:v>-40.155208153648644</c:v>
                </c:pt>
                <c:pt idx="2">
                  <c:v>-35.69615784061714</c:v>
                </c:pt>
                <c:pt idx="3">
                  <c:v>-29.068531720565392</c:v>
                </c:pt>
                <c:pt idx="4">
                  <c:v>-21.015455258898406</c:v>
                </c:pt>
                <c:pt idx="5">
                  <c:v>-12.148766855641696</c:v>
                </c:pt>
                <c:pt idx="6">
                  <c:v>-2.9396985857865725</c:v>
                </c:pt>
                <c:pt idx="7">
                  <c:v>6.1746345758457091</c:v>
                </c:pt>
                <c:pt idx="8">
                  <c:v>14.816742859775683</c:v>
                </c:pt>
                <c:pt idx="9">
                  <c:v>22.517395610941481</c:v>
                </c:pt>
                <c:pt idx="10">
                  <c:v>28.72428647108735</c:v>
                </c:pt>
                <c:pt idx="11">
                  <c:v>32.817770312442704</c:v>
                </c:pt>
                <c:pt idx="12">
                  <c:v>34.256748885695828</c:v>
                </c:pt>
                <c:pt idx="13">
                  <c:v>32.817770312442704</c:v>
                </c:pt>
                <c:pt idx="14">
                  <c:v>28.72428647108735</c:v>
                </c:pt>
                <c:pt idx="15">
                  <c:v>22.517395610941481</c:v>
                </c:pt>
                <c:pt idx="16">
                  <c:v>14.816742859775683</c:v>
                </c:pt>
                <c:pt idx="17">
                  <c:v>6.1746345758457091</c:v>
                </c:pt>
                <c:pt idx="18">
                  <c:v>-2.9581534648441585</c:v>
                </c:pt>
                <c:pt idx="19">
                  <c:v>-12.148766855641696</c:v>
                </c:pt>
                <c:pt idx="20">
                  <c:v>-21.015455258898406</c:v>
                </c:pt>
                <c:pt idx="21">
                  <c:v>-29.068531720565392</c:v>
                </c:pt>
                <c:pt idx="22">
                  <c:v>-35.69615784061714</c:v>
                </c:pt>
                <c:pt idx="23">
                  <c:v>-40.155208153648644</c:v>
                </c:pt>
                <c:pt idx="24">
                  <c:v>-41.743249497550345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540736"/>
        <c:axId val="77661312"/>
      </c:scatterChart>
      <c:scatterChart>
        <c:scatterStyle val="lineMarker"/>
        <c:varyColors val="0"/>
        <c:ser>
          <c:idx val="1"/>
          <c:order val="1"/>
          <c:tx>
            <c:strRef>
              <c:f>Tabelle2!$AA$129</c:f>
              <c:strCache>
                <c:ptCount val="1"/>
                <c:pt idx="0">
                  <c:v>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xVal>
            <c:numRef>
              <c:f>Tabelle2!$Y$130:$Y$154</c:f>
              <c:numCache>
                <c:formatCode>0.0</c:formatCode>
                <c:ptCount val="25"/>
                <c:pt idx="0">
                  <c:v>2.0060689906361728E-2</c:v>
                </c:pt>
                <c:pt idx="1">
                  <c:v>19.749761518576683</c:v>
                </c:pt>
                <c:pt idx="2">
                  <c:v>37.905219984571865</c:v>
                </c:pt>
                <c:pt idx="3">
                  <c:v>53.831457023553227</c:v>
                </c:pt>
                <c:pt idx="4">
                  <c:v>67.782579479749401</c:v>
                </c:pt>
                <c:pt idx="5">
                  <c:v>80.382798099860423</c:v>
                </c:pt>
                <c:pt idx="6">
                  <c:v>92.318414040866173</c:v>
                </c:pt>
                <c:pt idx="7">
                  <c:v>104.18969384398447</c:v>
                </c:pt>
                <c:pt idx="8">
                  <c:v>116.63235822276138</c:v>
                </c:pt>
                <c:pt idx="9">
                  <c:v>130.19697185450025</c:v>
                </c:pt>
                <c:pt idx="10">
                  <c:v>145.3232111051573</c:v>
                </c:pt>
                <c:pt idx="11">
                  <c:v>162.10251979018295</c:v>
                </c:pt>
                <c:pt idx="12">
                  <c:v>180.00012072975218</c:v>
                </c:pt>
                <c:pt idx="13">
                  <c:v>197.89748020981705</c:v>
                </c:pt>
                <c:pt idx="14">
                  <c:v>214.6767888948427</c:v>
                </c:pt>
                <c:pt idx="15">
                  <c:v>229.80302814549975</c:v>
                </c:pt>
                <c:pt idx="16">
                  <c:v>243.36764177723862</c:v>
                </c:pt>
                <c:pt idx="17">
                  <c:v>255.81030615601554</c:v>
                </c:pt>
                <c:pt idx="18">
                  <c:v>267.7051879886294</c:v>
                </c:pt>
                <c:pt idx="19">
                  <c:v>279.61720190013955</c:v>
                </c:pt>
                <c:pt idx="20">
                  <c:v>292.21742052025058</c:v>
                </c:pt>
                <c:pt idx="21">
                  <c:v>306.16854297644676</c:v>
                </c:pt>
                <c:pt idx="22">
                  <c:v>322.09478001542811</c:v>
                </c:pt>
                <c:pt idx="23">
                  <c:v>340.25023848142331</c:v>
                </c:pt>
                <c:pt idx="24">
                  <c:v>359.97993931009364</c:v>
                </c:pt>
              </c:numCache>
            </c:numRef>
          </c:xVal>
          <c:yVal>
            <c:numRef>
              <c:f>Tabelle2!$AA$130:$AA$154</c:f>
              <c:numCache>
                <c:formatCode>0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668736"/>
        <c:axId val="77662848"/>
      </c:scatterChart>
      <c:valAx>
        <c:axId val="77540736"/>
        <c:scaling>
          <c:orientation val="minMax"/>
          <c:max val="360"/>
          <c:min val="0"/>
        </c:scaling>
        <c:delete val="0"/>
        <c:axPos val="b"/>
        <c:majorGridlines>
          <c:spPr>
            <a:ln w="22225">
              <a:solidFill>
                <a:schemeClr val="accent1">
                  <a:shade val="50000"/>
                </a:schemeClr>
              </a:solidFill>
            </a:ln>
          </c:spPr>
        </c:majorGridlines>
        <c:min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de-DE"/>
          </a:p>
        </c:txPr>
        <c:crossAx val="77661312"/>
        <c:crosses val="autoZero"/>
        <c:crossBetween val="midCat"/>
        <c:majorUnit val="15"/>
        <c:minorUnit val="5"/>
      </c:valAx>
      <c:valAx>
        <c:axId val="77661312"/>
        <c:scaling>
          <c:orientation val="minMax"/>
          <c:max val="90"/>
          <c:min val="-90"/>
        </c:scaling>
        <c:delete val="0"/>
        <c:axPos val="l"/>
        <c:majorGridlines/>
        <c:minorGridlines/>
        <c:numFmt formatCode="0" sourceLinked="0"/>
        <c:majorTickMark val="out"/>
        <c:minorTickMark val="in"/>
        <c:tickLblPos val="nextTo"/>
        <c:crossAx val="77540736"/>
        <c:crosses val="autoZero"/>
        <c:crossBetween val="midCat"/>
        <c:majorUnit val="10"/>
        <c:minorUnit val="2"/>
      </c:valAx>
      <c:valAx>
        <c:axId val="77662848"/>
        <c:scaling>
          <c:orientation val="minMax"/>
        </c:scaling>
        <c:delete val="1"/>
        <c:axPos val="r"/>
        <c:numFmt formatCode="0" sourceLinked="1"/>
        <c:majorTickMark val="out"/>
        <c:minorTickMark val="none"/>
        <c:tickLblPos val="nextTo"/>
        <c:crossAx val="77668736"/>
        <c:crosses val="max"/>
        <c:crossBetween val="midCat"/>
      </c:valAx>
      <c:valAx>
        <c:axId val="77668736"/>
        <c:scaling>
          <c:orientation val="minMax"/>
          <c:max val="24"/>
          <c:min val="0"/>
        </c:scaling>
        <c:delete val="1"/>
        <c:axPos val="t"/>
        <c:numFmt formatCode="0" sourceLinked="0"/>
        <c:majorTickMark val="out"/>
        <c:minorTickMark val="in"/>
        <c:tickLblPos val="nextTo"/>
        <c:crossAx val="77662848"/>
        <c:crosses val="max"/>
        <c:crossBetween val="midCat"/>
        <c:majorUnit val="1"/>
        <c:minorUnit val="0.25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2800" b="0"/>
              <a:t>Höhe (°) und Azimut (°) der Sonne</a:t>
            </a:r>
            <a:endParaRPr lang="en-US" b="0"/>
          </a:p>
        </c:rich>
      </c:tx>
      <c:layout>
        <c:manualLayout>
          <c:xMode val="edge"/>
          <c:yMode val="edge"/>
          <c:x val="0.38245442203737079"/>
          <c:y val="8.53868679638185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9056775252649486E-2"/>
          <c:y val="0.21836736180410382"/>
          <c:w val="0.9657081306138936"/>
          <c:h val="0.76109143618842279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Tabelle2!$X$129</c:f>
              <c:strCache>
                <c:ptCount val="1"/>
                <c:pt idx="0">
                  <c:v>Höhe (°)</c:v>
                </c:pt>
              </c:strCache>
            </c:strRef>
          </c:tx>
          <c:spPr>
            <a:ln w="6350">
              <a:noFill/>
            </a:ln>
          </c:spPr>
          <c:marker>
            <c:symbol val="circle"/>
            <c:size val="15"/>
            <c:spPr>
              <a:solidFill>
                <a:srgbClr val="FFC000"/>
              </a:solidFill>
            </c:spPr>
          </c:marker>
          <c:xVal>
            <c:numRef>
              <c:f>Tabelle2!$W$130:$W$154</c:f>
              <c:numCache>
                <c:formatCode>0.00</c:formatCode>
                <c:ptCount val="25"/>
                <c:pt idx="0" formatCode="0.0">
                  <c:v>321.7812122821735</c:v>
                </c:pt>
              </c:numCache>
            </c:numRef>
          </c:xVal>
          <c:yVal>
            <c:numRef>
              <c:f>Tabelle2!$X$130:$X$154</c:f>
              <c:numCache>
                <c:formatCode>0.00</c:formatCode>
                <c:ptCount val="25"/>
                <c:pt idx="0" formatCode="0.0">
                  <c:v>-35.59135157085268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685888"/>
        <c:axId val="77687808"/>
      </c:scatterChart>
      <c:valAx>
        <c:axId val="77685888"/>
        <c:scaling>
          <c:orientation val="minMax"/>
          <c:max val="360"/>
          <c:min val="0"/>
        </c:scaling>
        <c:delete val="0"/>
        <c:axPos val="b"/>
        <c:majorGridlines>
          <c:spPr>
            <a:ln w="22225">
              <a:solidFill>
                <a:schemeClr val="accent1">
                  <a:shade val="50000"/>
                </a:schemeClr>
              </a:solidFill>
            </a:ln>
          </c:spPr>
        </c:majorGridlines>
        <c:min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de-DE"/>
          </a:p>
        </c:txPr>
        <c:crossAx val="77687808"/>
        <c:crosses val="autoZero"/>
        <c:crossBetween val="midCat"/>
        <c:majorUnit val="15"/>
        <c:minorUnit val="5"/>
      </c:valAx>
      <c:valAx>
        <c:axId val="77687808"/>
        <c:scaling>
          <c:orientation val="minMax"/>
          <c:max val="90"/>
          <c:min val="-90"/>
        </c:scaling>
        <c:delete val="0"/>
        <c:axPos val="l"/>
        <c:majorGridlines/>
        <c:minorGridlines/>
        <c:numFmt formatCode="0" sourceLinked="0"/>
        <c:majorTickMark val="out"/>
        <c:minorTickMark val="in"/>
        <c:tickLblPos val="nextTo"/>
        <c:crossAx val="77685888"/>
        <c:crosses val="autoZero"/>
        <c:crossBetween val="midCat"/>
        <c:majorUnit val="10"/>
        <c:minorUnit val="2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309228996278753E-2"/>
          <c:y val="2.209456653739178E-2"/>
          <c:w val="0.96669682247165911"/>
          <c:h val="0.9657611156814353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Tabelle2!$S$149</c:f>
              <c:strCache>
                <c:ptCount val="1"/>
                <c:pt idx="0">
                  <c:v>Breite</c:v>
                </c:pt>
              </c:strCache>
            </c:strRef>
          </c:tx>
          <c:spPr>
            <a:ln w="28575">
              <a:noFill/>
            </a:ln>
            <a:effectLst/>
          </c:spPr>
          <c:marker>
            <c:symbol val="circle"/>
            <c:size val="8"/>
            <c:spPr>
              <a:solidFill>
                <a:srgbClr val="FFC000"/>
              </a:solidFill>
              <a:effectLst/>
            </c:spPr>
          </c:marker>
          <c:dPt>
            <c:idx val="0"/>
            <c:marker>
              <c:spPr>
                <a:solidFill>
                  <a:srgbClr val="FFC000"/>
                </a:solidFill>
                <a:effectLst>
                  <a:glow rad="228600">
                    <a:schemeClr val="accent6">
                      <a:satMod val="175000"/>
                      <a:alpha val="40000"/>
                    </a:schemeClr>
                  </a:glow>
                </a:effectLst>
              </c:spPr>
            </c:marker>
            <c:bubble3D val="0"/>
            <c:spPr>
              <a:ln w="28575">
                <a:noFill/>
              </a:ln>
              <a:effectLst>
                <a:glow rad="228600">
                  <a:schemeClr val="accent6">
                    <a:satMod val="175000"/>
                    <a:alpha val="40000"/>
                  </a:schemeClr>
                </a:glow>
              </a:effectLst>
            </c:spPr>
          </c:dPt>
          <c:dPt>
            <c:idx val="1"/>
            <c:marker>
              <c:symbol val="x"/>
              <c:size val="8"/>
              <c:spPr>
                <a:solidFill>
                  <a:srgbClr val="FF0000"/>
                </a:solidFill>
                <a:effectLst/>
              </c:spPr>
            </c:marker>
            <c:bubble3D val="0"/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Tabelle2!$U$150:$U$151</c:f>
              <c:numCache>
                <c:formatCode>0.00</c:formatCode>
                <c:ptCount val="2"/>
                <c:pt idx="0">
                  <c:v>-149.72387715485473</c:v>
                </c:pt>
                <c:pt idx="1">
                  <c:v>9</c:v>
                </c:pt>
              </c:numCache>
            </c:numRef>
          </c:xVal>
          <c:yVal>
            <c:numRef>
              <c:f>Tabelle2!$S$150:$S$151</c:f>
              <c:numCache>
                <c:formatCode>0.00</c:formatCode>
                <c:ptCount val="2"/>
                <c:pt idx="0">
                  <c:v>-3.7432511142393099</c:v>
                </c:pt>
                <c:pt idx="1">
                  <c:v>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771136"/>
        <c:axId val="79772672"/>
      </c:scatterChart>
      <c:valAx>
        <c:axId val="79771136"/>
        <c:scaling>
          <c:orientation val="minMax"/>
          <c:max val="180"/>
          <c:min val="-180"/>
        </c:scaling>
        <c:delete val="0"/>
        <c:axPos val="b"/>
        <c:majorGridlines>
          <c:spPr>
            <a:ln w="19050"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numFmt formatCode="0" sourceLinked="0"/>
        <c:majorTickMark val="cross"/>
        <c:minorTickMark val="none"/>
        <c:tickLblPos val="nextTo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txPr>
          <a:bodyPr/>
          <a:lstStyle/>
          <a:p>
            <a:pPr>
              <a:defRPr sz="1400"/>
            </a:pPr>
            <a:endParaRPr lang="de-DE"/>
          </a:p>
        </c:txPr>
        <c:crossAx val="79772672"/>
        <c:crosses val="autoZero"/>
        <c:crossBetween val="midCat"/>
        <c:majorUnit val="15"/>
        <c:minorUnit val="2"/>
      </c:valAx>
      <c:valAx>
        <c:axId val="79772672"/>
        <c:scaling>
          <c:orientation val="minMax"/>
          <c:max val="90"/>
          <c:min val="-90"/>
        </c:scaling>
        <c:delete val="0"/>
        <c:axPos val="l"/>
        <c:majorGridlines>
          <c:spPr>
            <a:ln w="19050"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0" sourceLinked="0"/>
        <c:majorTickMark val="cross"/>
        <c:minorTickMark val="cross"/>
        <c:tickLblPos val="nextTo"/>
        <c:txPr>
          <a:bodyPr/>
          <a:lstStyle/>
          <a:p>
            <a:pPr>
              <a:defRPr sz="1400"/>
            </a:pPr>
            <a:endParaRPr lang="de-DE"/>
          </a:p>
        </c:txPr>
        <c:crossAx val="79771136"/>
        <c:crosses val="autoZero"/>
        <c:crossBetween val="midCat"/>
        <c:majorUnit val="10"/>
        <c:minorUnit val="2"/>
      </c:valAx>
      <c:spPr>
        <a:solidFill>
          <a:schemeClr val="accent1">
            <a:lumMod val="40000"/>
            <a:lumOff val="60000"/>
            <a:alpha val="26000"/>
          </a:schemeClr>
        </a:solidFill>
      </c:spPr>
    </c:plotArea>
    <c:plotVisOnly val="1"/>
    <c:dispBlanksAs val="gap"/>
    <c:showDLblsOverMax val="0"/>
  </c:chart>
  <c:spPr>
    <a:solidFill>
      <a:schemeClr val="bg1">
        <a:alpha val="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3.xml"/><Relationship Id="rId5" Type="http://schemas.microsoft.com/office/2007/relationships/hdphoto" Target="../media/hdphoto1.wdp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9.png"/><Relationship Id="rId3" Type="http://schemas.openxmlformats.org/officeDocument/2006/relationships/chart" Target="../charts/chart4.xml"/><Relationship Id="rId7" Type="http://schemas.openxmlformats.org/officeDocument/2006/relationships/image" Target="../media/image6.png"/><Relationship Id="rId12" Type="http://schemas.openxmlformats.org/officeDocument/2006/relationships/image" Target="../media/image8.png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6" Type="http://schemas.openxmlformats.org/officeDocument/2006/relationships/image" Target="../media/image5.png"/><Relationship Id="rId11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microsoft.com/office/2007/relationships/hdphoto" Target="../media/hdphoto1.wdp"/><Relationship Id="rId4" Type="http://schemas.openxmlformats.org/officeDocument/2006/relationships/image" Target="../media/image4.png"/><Relationship Id="rId9" Type="http://schemas.openxmlformats.org/officeDocument/2006/relationships/image" Target="../media/image2.png"/><Relationship Id="rId1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165101</xdr:colOff>
      <xdr:row>8</xdr:row>
      <xdr:rowOff>12700</xdr:rowOff>
    </xdr:from>
    <xdr:to>
      <xdr:col>17</xdr:col>
      <xdr:colOff>779319</xdr:colOff>
      <xdr:row>24</xdr:row>
      <xdr:rowOff>0</xdr:rowOff>
    </xdr:to>
    <xdr:graphicFrame macro="">
      <xdr:nvGraphicFramePr>
        <xdr:cNvPr id="37" name="Diagramm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490682</xdr:colOff>
      <xdr:row>15</xdr:row>
      <xdr:rowOff>129886</xdr:rowOff>
    </xdr:from>
    <xdr:to>
      <xdr:col>17</xdr:col>
      <xdr:colOff>764886</xdr:colOff>
      <xdr:row>23</xdr:row>
      <xdr:rowOff>202046</xdr:rowOff>
    </xdr:to>
    <xdr:sp macro="" textlink="">
      <xdr:nvSpPr>
        <xdr:cNvPr id="44" name="Rechteck 43"/>
        <xdr:cNvSpPr/>
      </xdr:nvSpPr>
      <xdr:spPr>
        <a:xfrm rot="10800000" flipV="1">
          <a:off x="5974773" y="3939886"/>
          <a:ext cx="8211704" cy="1861705"/>
        </a:xfrm>
        <a:prstGeom prst="rect">
          <a:avLst/>
        </a:prstGeom>
        <a:gradFill flip="none" rotWithShape="1">
          <a:gsLst>
            <a:gs pos="0">
              <a:srgbClr val="000082">
                <a:alpha val="7000"/>
                <a:lumMod val="0"/>
              </a:srgbClr>
            </a:gs>
            <a:gs pos="4000">
              <a:srgbClr val="66008F">
                <a:alpha val="0"/>
              </a:srgbClr>
            </a:gs>
            <a:gs pos="100000">
              <a:srgbClr val="002060"/>
            </a:gs>
            <a:gs pos="100000">
              <a:srgbClr val="FF0000"/>
            </a:gs>
            <a:gs pos="100000">
              <a:srgbClr val="FF8200"/>
            </a:gs>
          </a:gsLst>
          <a:lin ang="5400000" scaled="1"/>
          <a:tileRect/>
        </a:gra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12</xdr:col>
      <xdr:colOff>986841</xdr:colOff>
      <xdr:row>22</xdr:row>
      <xdr:rowOff>57727</xdr:rowOff>
    </xdr:from>
    <xdr:to>
      <xdr:col>13</xdr:col>
      <xdr:colOff>173181</xdr:colOff>
      <xdr:row>23</xdr:row>
      <xdr:rowOff>126639</xdr:rowOff>
    </xdr:to>
    <xdr:sp macro="" textlink="">
      <xdr:nvSpPr>
        <xdr:cNvPr id="45" name="Textfeld 44"/>
        <xdr:cNvSpPr txBox="1"/>
      </xdr:nvSpPr>
      <xdr:spPr>
        <a:xfrm>
          <a:off x="9934568" y="5469659"/>
          <a:ext cx="268727" cy="256525"/>
        </a:xfrm>
        <a:prstGeom prst="rect">
          <a:avLst/>
        </a:prstGeom>
        <a:solidFill>
          <a:schemeClr val="bg1">
            <a:lumMod val="75000"/>
            <a:alpha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de-DE" sz="1600"/>
            <a:t>S</a:t>
          </a:r>
        </a:p>
      </xdr:txBody>
    </xdr:sp>
    <xdr:clientData/>
  </xdr:twoCellAnchor>
  <xdr:twoCellAnchor>
    <xdr:from>
      <xdr:col>10</xdr:col>
      <xdr:colOff>403105</xdr:colOff>
      <xdr:row>22</xdr:row>
      <xdr:rowOff>43295</xdr:rowOff>
    </xdr:from>
    <xdr:to>
      <xdr:col>10</xdr:col>
      <xdr:colOff>620568</xdr:colOff>
      <xdr:row>23</xdr:row>
      <xdr:rowOff>117334</xdr:rowOff>
    </xdr:to>
    <xdr:sp macro="" textlink="">
      <xdr:nvSpPr>
        <xdr:cNvPr id="46" name="Textfeld 45"/>
        <xdr:cNvSpPr txBox="1"/>
      </xdr:nvSpPr>
      <xdr:spPr>
        <a:xfrm>
          <a:off x="7907650" y="5455227"/>
          <a:ext cx="217463" cy="261652"/>
        </a:xfrm>
        <a:prstGeom prst="rect">
          <a:avLst/>
        </a:prstGeom>
        <a:solidFill>
          <a:schemeClr val="bg1">
            <a:lumMod val="75000"/>
            <a:alpha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de-DE" sz="1600"/>
            <a:t>O</a:t>
          </a:r>
        </a:p>
      </xdr:txBody>
    </xdr:sp>
    <xdr:clientData/>
  </xdr:twoCellAnchor>
  <xdr:twoCellAnchor>
    <xdr:from>
      <xdr:col>14</xdr:col>
      <xdr:colOff>1140396</xdr:colOff>
      <xdr:row>22</xdr:row>
      <xdr:rowOff>57728</xdr:rowOff>
    </xdr:from>
    <xdr:to>
      <xdr:col>15</xdr:col>
      <xdr:colOff>14432</xdr:colOff>
      <xdr:row>23</xdr:row>
      <xdr:rowOff>140761</xdr:rowOff>
    </xdr:to>
    <xdr:sp macro="" textlink="">
      <xdr:nvSpPr>
        <xdr:cNvPr id="47" name="Textfeld 46"/>
        <xdr:cNvSpPr txBox="1"/>
      </xdr:nvSpPr>
      <xdr:spPr>
        <a:xfrm>
          <a:off x="11935396" y="5469660"/>
          <a:ext cx="230627" cy="270646"/>
        </a:xfrm>
        <a:prstGeom prst="rect">
          <a:avLst/>
        </a:prstGeom>
        <a:solidFill>
          <a:schemeClr val="bg1">
            <a:lumMod val="75000"/>
            <a:alpha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de-DE" sz="1600"/>
            <a:t>W</a:t>
          </a:r>
        </a:p>
      </xdr:txBody>
    </xdr:sp>
    <xdr:clientData/>
  </xdr:twoCellAnchor>
  <xdr:twoCellAnchor>
    <xdr:from>
      <xdr:col>7</xdr:col>
      <xdr:colOff>448905</xdr:colOff>
      <xdr:row>22</xdr:row>
      <xdr:rowOff>43295</xdr:rowOff>
    </xdr:from>
    <xdr:to>
      <xdr:col>8</xdr:col>
      <xdr:colOff>72159</xdr:colOff>
      <xdr:row>23</xdr:row>
      <xdr:rowOff>155042</xdr:rowOff>
    </xdr:to>
    <xdr:sp macro="" textlink="">
      <xdr:nvSpPr>
        <xdr:cNvPr id="48" name="Textfeld 47"/>
        <xdr:cNvSpPr txBox="1"/>
      </xdr:nvSpPr>
      <xdr:spPr>
        <a:xfrm>
          <a:off x="6005155" y="5455227"/>
          <a:ext cx="287118" cy="299360"/>
        </a:xfrm>
        <a:prstGeom prst="rect">
          <a:avLst/>
        </a:prstGeom>
        <a:solidFill>
          <a:schemeClr val="bg1">
            <a:lumMod val="75000"/>
            <a:alpha val="24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de-DE" sz="1600"/>
            <a:t>N</a:t>
          </a:r>
        </a:p>
      </xdr:txBody>
    </xdr:sp>
    <xdr:clientData/>
  </xdr:twoCellAnchor>
  <xdr:twoCellAnchor>
    <xdr:from>
      <xdr:col>17</xdr:col>
      <xdr:colOff>389659</xdr:colOff>
      <xdr:row>22</xdr:row>
      <xdr:rowOff>43295</xdr:rowOff>
    </xdr:from>
    <xdr:to>
      <xdr:col>17</xdr:col>
      <xdr:colOff>577272</xdr:colOff>
      <xdr:row>23</xdr:row>
      <xdr:rowOff>138902</xdr:rowOff>
    </xdr:to>
    <xdr:sp macro="" textlink="">
      <xdr:nvSpPr>
        <xdr:cNvPr id="49" name="Textfeld 48"/>
        <xdr:cNvSpPr txBox="1"/>
      </xdr:nvSpPr>
      <xdr:spPr>
        <a:xfrm>
          <a:off x="13883409" y="5455227"/>
          <a:ext cx="187613" cy="283220"/>
        </a:xfrm>
        <a:prstGeom prst="rect">
          <a:avLst/>
        </a:prstGeom>
        <a:solidFill>
          <a:schemeClr val="bg1">
            <a:lumMod val="75000"/>
            <a:alpha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de-DE" sz="1600"/>
            <a:t>N</a:t>
          </a:r>
        </a:p>
      </xdr:txBody>
    </xdr:sp>
    <xdr:clientData/>
  </xdr:twoCellAnchor>
  <xdr:twoCellAnchor>
    <xdr:from>
      <xdr:col>7</xdr:col>
      <xdr:colOff>434884</xdr:colOff>
      <xdr:row>15</xdr:row>
      <xdr:rowOff>126289</xdr:rowOff>
    </xdr:from>
    <xdr:to>
      <xdr:col>17</xdr:col>
      <xdr:colOff>476249</xdr:colOff>
      <xdr:row>15</xdr:row>
      <xdr:rowOff>144318</xdr:rowOff>
    </xdr:to>
    <xdr:cxnSp macro="">
      <xdr:nvCxnSpPr>
        <xdr:cNvPr id="50" name="Gerade Verbindung 49"/>
        <xdr:cNvCxnSpPr/>
      </xdr:nvCxnSpPr>
      <xdr:spPr>
        <a:xfrm>
          <a:off x="5991134" y="3936289"/>
          <a:ext cx="7978865" cy="18029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214168</xdr:colOff>
      <xdr:row>25</xdr:row>
      <xdr:rowOff>76200</xdr:rowOff>
    </xdr:from>
    <xdr:to>
      <xdr:col>30</xdr:col>
      <xdr:colOff>61768</xdr:colOff>
      <xdr:row>44</xdr:row>
      <xdr:rowOff>0</xdr:rowOff>
    </xdr:to>
    <xdr:grpSp>
      <xdr:nvGrpSpPr>
        <xdr:cNvPr id="51" name="Gruppieren 50"/>
        <xdr:cNvGrpSpPr/>
      </xdr:nvGrpSpPr>
      <xdr:grpSpPr>
        <a:xfrm>
          <a:off x="5698259" y="6195291"/>
          <a:ext cx="17454418" cy="4354368"/>
          <a:chOff x="552450" y="14179549"/>
          <a:chExt cx="19958050" cy="6864350"/>
        </a:xfrm>
      </xdr:grpSpPr>
      <xdr:graphicFrame macro="">
        <xdr:nvGraphicFramePr>
          <xdr:cNvPr id="52" name="Diagramm 51"/>
          <xdr:cNvGraphicFramePr/>
        </xdr:nvGraphicFramePr>
        <xdr:xfrm>
          <a:off x="552450" y="14179549"/>
          <a:ext cx="19958050" cy="68643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53" name="Rechteck 52"/>
          <xdr:cNvSpPr/>
        </xdr:nvSpPr>
        <xdr:spPr>
          <a:xfrm rot="10800000" flipV="1">
            <a:off x="917232" y="18262600"/>
            <a:ext cx="19301168" cy="2641600"/>
          </a:xfrm>
          <a:prstGeom prst="rect">
            <a:avLst/>
          </a:prstGeom>
          <a:gradFill flip="none" rotWithShape="1">
            <a:gsLst>
              <a:gs pos="0">
                <a:srgbClr val="000082">
                  <a:alpha val="7000"/>
                  <a:lumMod val="0"/>
                </a:srgbClr>
              </a:gs>
              <a:gs pos="0">
                <a:srgbClr val="66008F">
                  <a:alpha val="0"/>
                </a:srgbClr>
              </a:gs>
              <a:gs pos="100000">
                <a:srgbClr val="002060"/>
              </a:gs>
              <a:gs pos="100000">
                <a:srgbClr val="FF0000"/>
              </a:gs>
              <a:gs pos="100000">
                <a:srgbClr val="FF8200"/>
              </a:gs>
            </a:gsLst>
            <a:lin ang="5400000" scaled="1"/>
            <a:tileRect/>
          </a:gra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54" name="Textfeld 53"/>
          <xdr:cNvSpPr txBox="1"/>
        </xdr:nvSpPr>
        <xdr:spPr>
          <a:xfrm>
            <a:off x="10390591" y="20074941"/>
            <a:ext cx="391709" cy="808323"/>
          </a:xfrm>
          <a:prstGeom prst="rect">
            <a:avLst/>
          </a:prstGeom>
          <a:solidFill>
            <a:schemeClr val="bg1">
              <a:lumMod val="75000"/>
              <a:alpha val="40000"/>
            </a:schemeClr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de-DE" sz="2400"/>
              <a:t>S</a:t>
            </a:r>
          </a:p>
        </xdr:txBody>
      </xdr:sp>
      <xdr:sp macro="" textlink="">
        <xdr:nvSpPr>
          <xdr:cNvPr id="55" name="Textfeld 54"/>
          <xdr:cNvSpPr txBox="1"/>
        </xdr:nvSpPr>
        <xdr:spPr>
          <a:xfrm>
            <a:off x="5559876" y="20084944"/>
            <a:ext cx="409124" cy="792436"/>
          </a:xfrm>
          <a:prstGeom prst="rect">
            <a:avLst/>
          </a:prstGeom>
          <a:solidFill>
            <a:schemeClr val="bg1">
              <a:lumMod val="75000"/>
              <a:alpha val="40000"/>
            </a:schemeClr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de-DE" sz="2400"/>
              <a:t>O</a:t>
            </a:r>
          </a:p>
        </xdr:txBody>
      </xdr:sp>
      <xdr:sp macro="" textlink="">
        <xdr:nvSpPr>
          <xdr:cNvPr id="56" name="Textfeld 55"/>
          <xdr:cNvSpPr txBox="1"/>
        </xdr:nvSpPr>
        <xdr:spPr>
          <a:xfrm>
            <a:off x="15184317" y="20141711"/>
            <a:ext cx="458459" cy="741553"/>
          </a:xfrm>
          <a:prstGeom prst="rect">
            <a:avLst/>
          </a:prstGeom>
          <a:solidFill>
            <a:schemeClr val="bg1">
              <a:lumMod val="75000"/>
              <a:alpha val="40000"/>
            </a:schemeClr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de-DE" sz="2400"/>
              <a:t>W</a:t>
            </a:r>
          </a:p>
        </xdr:txBody>
      </xdr:sp>
      <xdr:sp macro="" textlink="">
        <xdr:nvSpPr>
          <xdr:cNvPr id="57" name="Textfeld 56"/>
          <xdr:cNvSpPr txBox="1"/>
        </xdr:nvSpPr>
        <xdr:spPr>
          <a:xfrm>
            <a:off x="933427" y="20073422"/>
            <a:ext cx="387350" cy="785456"/>
          </a:xfrm>
          <a:prstGeom prst="rect">
            <a:avLst/>
          </a:prstGeom>
          <a:solidFill>
            <a:schemeClr val="bg1">
              <a:lumMod val="75000"/>
              <a:alpha val="40000"/>
            </a:schemeClr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de-DE" sz="2400"/>
              <a:t>N</a:t>
            </a:r>
          </a:p>
        </xdr:txBody>
      </xdr:sp>
      <xdr:sp macro="" textlink="">
        <xdr:nvSpPr>
          <xdr:cNvPr id="58" name="Textfeld 57"/>
          <xdr:cNvSpPr txBox="1"/>
        </xdr:nvSpPr>
        <xdr:spPr>
          <a:xfrm>
            <a:off x="19792951" y="20111723"/>
            <a:ext cx="438150" cy="809641"/>
          </a:xfrm>
          <a:prstGeom prst="rect">
            <a:avLst/>
          </a:prstGeom>
          <a:solidFill>
            <a:schemeClr val="bg1">
              <a:lumMod val="75000"/>
              <a:alpha val="40000"/>
            </a:schemeClr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de-DE" sz="2400"/>
              <a:t>N</a:t>
            </a:r>
          </a:p>
        </xdr:txBody>
      </xdr:sp>
      <xdr:cxnSp macro="">
        <xdr:nvCxnSpPr>
          <xdr:cNvPr id="59" name="Gerade Verbindung 58"/>
          <xdr:cNvCxnSpPr/>
        </xdr:nvCxnSpPr>
        <xdr:spPr>
          <a:xfrm>
            <a:off x="952500" y="18288000"/>
            <a:ext cx="19278600" cy="25400"/>
          </a:xfrm>
          <a:prstGeom prst="line">
            <a:avLst/>
          </a:prstGeom>
          <a:ln w="762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23</xdr:col>
      <xdr:colOff>127000</xdr:colOff>
      <xdr:row>1</xdr:row>
      <xdr:rowOff>76200</xdr:rowOff>
    </xdr:from>
    <xdr:ext cx="2596793" cy="1117600"/>
    <xdr:pic>
      <xdr:nvPicPr>
        <xdr:cNvPr id="60" name="Grafik 5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653000" y="266700"/>
          <a:ext cx="2596793" cy="1117600"/>
        </a:xfrm>
        <a:prstGeom prst="rect">
          <a:avLst/>
        </a:prstGeom>
      </xdr:spPr>
    </xdr:pic>
    <xdr:clientData/>
  </xdr:oneCellAnchor>
  <xdr:twoCellAnchor>
    <xdr:from>
      <xdr:col>7</xdr:col>
      <xdr:colOff>511460</xdr:colOff>
      <xdr:row>8</xdr:row>
      <xdr:rowOff>144318</xdr:rowOff>
    </xdr:from>
    <xdr:to>
      <xdr:col>17</xdr:col>
      <xdr:colOff>750453</xdr:colOff>
      <xdr:row>15</xdr:row>
      <xdr:rowOff>202045</xdr:rowOff>
    </xdr:to>
    <xdr:sp macro="" textlink="">
      <xdr:nvSpPr>
        <xdr:cNvPr id="61" name="Rechteck 60"/>
        <xdr:cNvSpPr/>
      </xdr:nvSpPr>
      <xdr:spPr>
        <a:xfrm rot="10800000" flipV="1">
          <a:off x="5995551" y="2135909"/>
          <a:ext cx="8176493" cy="1876136"/>
        </a:xfrm>
        <a:prstGeom prst="rect">
          <a:avLst/>
        </a:prstGeom>
        <a:solidFill>
          <a:srgbClr val="00B0F0">
            <a:alpha val="10000"/>
          </a:srgb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577270</xdr:colOff>
      <xdr:row>28</xdr:row>
      <xdr:rowOff>203199</xdr:rowOff>
    </xdr:from>
    <xdr:to>
      <xdr:col>29</xdr:col>
      <xdr:colOff>570927</xdr:colOff>
      <xdr:row>36</xdr:row>
      <xdr:rowOff>158749</xdr:rowOff>
    </xdr:to>
    <xdr:sp macro="" textlink="">
      <xdr:nvSpPr>
        <xdr:cNvPr id="62" name="Rechteck 61"/>
        <xdr:cNvSpPr/>
      </xdr:nvSpPr>
      <xdr:spPr>
        <a:xfrm rot="10800000" flipV="1">
          <a:off x="6133520" y="7043881"/>
          <a:ext cx="16835589" cy="1759527"/>
        </a:xfrm>
        <a:prstGeom prst="rect">
          <a:avLst/>
        </a:prstGeom>
        <a:solidFill>
          <a:srgbClr val="00B0F0">
            <a:alpha val="10000"/>
          </a:srgb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18</xdr:col>
      <xdr:colOff>736023</xdr:colOff>
      <xdr:row>9</xdr:row>
      <xdr:rowOff>185637</xdr:rowOff>
    </xdr:from>
    <xdr:to>
      <xdr:col>29</xdr:col>
      <xdr:colOff>562840</xdr:colOff>
      <xdr:row>22</xdr:row>
      <xdr:rowOff>30702</xdr:rowOff>
    </xdr:to>
    <xdr:pic>
      <xdr:nvPicPr>
        <xdr:cNvPr id="30" name="Grafik 2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harpenSoften amount="-47000"/>
                  </a14:imgEffect>
                  <a14:imgEffect>
                    <a14:brightnessContrast bright="18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5023523" y="2437001"/>
          <a:ext cx="7937499" cy="3005633"/>
        </a:xfrm>
        <a:prstGeom prst="rect">
          <a:avLst/>
        </a:prstGeom>
      </xdr:spPr>
    </xdr:pic>
    <xdr:clientData/>
  </xdr:twoCellAnchor>
  <xdr:twoCellAnchor>
    <xdr:from>
      <xdr:col>18</xdr:col>
      <xdr:colOff>577274</xdr:colOff>
      <xdr:row>7</xdr:row>
      <xdr:rowOff>158751</xdr:rowOff>
    </xdr:from>
    <xdr:to>
      <xdr:col>29</xdr:col>
      <xdr:colOff>750455</xdr:colOff>
      <xdr:row>23</xdr:row>
      <xdr:rowOff>230911</xdr:rowOff>
    </xdr:to>
    <xdr:graphicFrame macro="">
      <xdr:nvGraphicFramePr>
        <xdr:cNvPr id="31" name="Diagramm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586799</xdr:colOff>
      <xdr:row>15</xdr:row>
      <xdr:rowOff>58016</xdr:rowOff>
    </xdr:from>
    <xdr:to>
      <xdr:col>29</xdr:col>
      <xdr:colOff>750455</xdr:colOff>
      <xdr:row>15</xdr:row>
      <xdr:rowOff>86592</xdr:rowOff>
    </xdr:to>
    <xdr:cxnSp macro="">
      <xdr:nvCxnSpPr>
        <xdr:cNvPr id="3" name="Gerader Verbinder 2"/>
        <xdr:cNvCxnSpPr>
          <a:endCxn id="31" idx="3"/>
        </xdr:cNvCxnSpPr>
      </xdr:nvCxnSpPr>
      <xdr:spPr>
        <a:xfrm>
          <a:off x="14874299" y="3868016"/>
          <a:ext cx="8274338" cy="28576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12700</xdr:colOff>
      <xdr:row>21</xdr:row>
      <xdr:rowOff>88900</xdr:rowOff>
    </xdr:from>
    <xdr:ext cx="3797300" cy="200025"/>
    <xdr:pic>
      <xdr:nvPicPr>
        <xdr:cNvPr id="23" name="Grafik 22" descr="h \, = \, \arcsin(\cos(\delta) \cos(\tau) \cos(\varphi) + \sin(\delta) \sin(\varphi))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4675" y="4089400"/>
          <a:ext cx="37973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22</xdr:col>
      <xdr:colOff>600075</xdr:colOff>
      <xdr:row>1</xdr:row>
      <xdr:rowOff>127000</xdr:rowOff>
    </xdr:from>
    <xdr:ext cx="2537096" cy="1079500"/>
    <xdr:pic>
      <xdr:nvPicPr>
        <xdr:cNvPr id="24" name="Grafik 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354550" y="317500"/>
          <a:ext cx="2537096" cy="1079500"/>
        </a:xfrm>
        <a:prstGeom prst="rect">
          <a:avLst/>
        </a:prstGeom>
      </xdr:spPr>
    </xdr:pic>
    <xdr:clientData/>
  </xdr:oneCellAnchor>
  <xdr:twoCellAnchor>
    <xdr:from>
      <xdr:col>1</xdr:col>
      <xdr:colOff>437372</xdr:colOff>
      <xdr:row>93</xdr:row>
      <xdr:rowOff>139910</xdr:rowOff>
    </xdr:from>
    <xdr:to>
      <xdr:col>27</xdr:col>
      <xdr:colOff>304240</xdr:colOff>
      <xdr:row>93</xdr:row>
      <xdr:rowOff>162640</xdr:rowOff>
    </xdr:to>
    <xdr:cxnSp macro="">
      <xdr:nvCxnSpPr>
        <xdr:cNvPr id="25" name="Gerade Verbindung 24"/>
        <xdr:cNvCxnSpPr/>
      </xdr:nvCxnSpPr>
      <xdr:spPr>
        <a:xfrm flipV="1">
          <a:off x="932672" y="16808660"/>
          <a:ext cx="20126543" cy="2273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93</xdr:row>
      <xdr:rowOff>50800</xdr:rowOff>
    </xdr:from>
    <xdr:to>
      <xdr:col>27</xdr:col>
      <xdr:colOff>292100</xdr:colOff>
      <xdr:row>93</xdr:row>
      <xdr:rowOff>50800</xdr:rowOff>
    </xdr:to>
    <xdr:cxnSp macro="">
      <xdr:nvCxnSpPr>
        <xdr:cNvPr id="26" name="Gerade Verbindung 25"/>
        <xdr:cNvCxnSpPr/>
      </xdr:nvCxnSpPr>
      <xdr:spPr>
        <a:xfrm>
          <a:off x="952500" y="16719550"/>
          <a:ext cx="20094575" cy="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31750</xdr:colOff>
      <xdr:row>76</xdr:row>
      <xdr:rowOff>139700</xdr:rowOff>
    </xdr:from>
    <xdr:to>
      <xdr:col>27</xdr:col>
      <xdr:colOff>584200</xdr:colOff>
      <xdr:row>101</xdr:row>
      <xdr:rowOff>88899</xdr:rowOff>
    </xdr:to>
    <xdr:grpSp>
      <xdr:nvGrpSpPr>
        <xdr:cNvPr id="27" name="Gruppieren 26"/>
        <xdr:cNvGrpSpPr/>
      </xdr:nvGrpSpPr>
      <xdr:grpSpPr>
        <a:xfrm>
          <a:off x="438150" y="18072100"/>
          <a:ext cx="20059650" cy="4711699"/>
          <a:chOff x="552450" y="14179549"/>
          <a:chExt cx="19958050" cy="6864350"/>
        </a:xfrm>
      </xdr:grpSpPr>
      <xdr:graphicFrame macro="">
        <xdr:nvGraphicFramePr>
          <xdr:cNvPr id="28" name="Diagramm 27"/>
          <xdr:cNvGraphicFramePr/>
        </xdr:nvGraphicFramePr>
        <xdr:xfrm>
          <a:off x="552450" y="14179549"/>
          <a:ext cx="19958050" cy="68643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29" name="Rechteck 28"/>
          <xdr:cNvSpPr/>
        </xdr:nvSpPr>
        <xdr:spPr>
          <a:xfrm rot="10800000" flipV="1">
            <a:off x="917232" y="18262600"/>
            <a:ext cx="19301168" cy="2641600"/>
          </a:xfrm>
          <a:prstGeom prst="rect">
            <a:avLst/>
          </a:prstGeom>
          <a:gradFill flip="none" rotWithShape="1">
            <a:gsLst>
              <a:gs pos="0">
                <a:srgbClr val="000082">
                  <a:alpha val="7000"/>
                  <a:lumMod val="0"/>
                </a:srgbClr>
              </a:gs>
              <a:gs pos="0">
                <a:srgbClr val="66008F">
                  <a:alpha val="0"/>
                </a:srgbClr>
              </a:gs>
              <a:gs pos="100000">
                <a:srgbClr val="002060"/>
              </a:gs>
              <a:gs pos="100000">
                <a:srgbClr val="FF0000"/>
              </a:gs>
              <a:gs pos="100000">
                <a:srgbClr val="FF8200"/>
              </a:gs>
            </a:gsLst>
            <a:lin ang="5400000" scaled="1"/>
            <a:tileRect/>
          </a:gra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30" name="Textfeld 29"/>
          <xdr:cNvSpPr txBox="1"/>
        </xdr:nvSpPr>
        <xdr:spPr>
          <a:xfrm>
            <a:off x="10390591" y="20211299"/>
            <a:ext cx="391709" cy="671965"/>
          </a:xfrm>
          <a:prstGeom prst="rect">
            <a:avLst/>
          </a:prstGeom>
          <a:solidFill>
            <a:schemeClr val="bg1">
              <a:lumMod val="75000"/>
            </a:schemeClr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de-DE" sz="2400"/>
              <a:t>S</a:t>
            </a:r>
          </a:p>
        </xdr:txBody>
      </xdr:sp>
      <xdr:sp macro="" textlink="">
        <xdr:nvSpPr>
          <xdr:cNvPr id="31" name="Textfeld 30"/>
          <xdr:cNvSpPr txBox="1"/>
        </xdr:nvSpPr>
        <xdr:spPr>
          <a:xfrm>
            <a:off x="5559876" y="20218622"/>
            <a:ext cx="409124" cy="658757"/>
          </a:xfrm>
          <a:prstGeom prst="rect">
            <a:avLst/>
          </a:prstGeom>
          <a:solidFill>
            <a:schemeClr val="bg1">
              <a:lumMod val="75000"/>
            </a:schemeClr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de-DE" sz="2400"/>
              <a:t>O</a:t>
            </a:r>
          </a:p>
        </xdr:txBody>
      </xdr:sp>
      <xdr:sp macro="" textlink="">
        <xdr:nvSpPr>
          <xdr:cNvPr id="32" name="Textfeld 31"/>
          <xdr:cNvSpPr txBox="1"/>
        </xdr:nvSpPr>
        <xdr:spPr>
          <a:xfrm>
            <a:off x="15184317" y="20266806"/>
            <a:ext cx="458459" cy="616459"/>
          </a:xfrm>
          <a:prstGeom prst="rect">
            <a:avLst/>
          </a:prstGeom>
          <a:solidFill>
            <a:schemeClr val="bg1">
              <a:lumMod val="75000"/>
            </a:schemeClr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de-DE" sz="2400"/>
              <a:t>W</a:t>
            </a:r>
          </a:p>
        </xdr:txBody>
      </xdr:sp>
      <xdr:sp macro="" textlink="">
        <xdr:nvSpPr>
          <xdr:cNvPr id="33" name="Textfeld 32"/>
          <xdr:cNvSpPr txBox="1"/>
        </xdr:nvSpPr>
        <xdr:spPr>
          <a:xfrm>
            <a:off x="933427" y="20205923"/>
            <a:ext cx="387350" cy="652955"/>
          </a:xfrm>
          <a:prstGeom prst="rect">
            <a:avLst/>
          </a:prstGeom>
          <a:solidFill>
            <a:schemeClr val="bg1">
              <a:lumMod val="75000"/>
            </a:schemeClr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de-DE" sz="2400"/>
              <a:t>N</a:t>
            </a:r>
          </a:p>
        </xdr:txBody>
      </xdr:sp>
      <xdr:sp macro="" textlink="">
        <xdr:nvSpPr>
          <xdr:cNvPr id="34" name="Textfeld 33"/>
          <xdr:cNvSpPr txBox="1"/>
        </xdr:nvSpPr>
        <xdr:spPr>
          <a:xfrm>
            <a:off x="19792951" y="20248303"/>
            <a:ext cx="438150" cy="673061"/>
          </a:xfrm>
          <a:prstGeom prst="rect">
            <a:avLst/>
          </a:prstGeom>
          <a:solidFill>
            <a:schemeClr val="bg1">
              <a:lumMod val="75000"/>
            </a:schemeClr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de-DE" sz="2400"/>
              <a:t>N</a:t>
            </a:r>
          </a:p>
        </xdr:txBody>
      </xdr:sp>
      <xdr:cxnSp macro="">
        <xdr:nvCxnSpPr>
          <xdr:cNvPr id="35" name="Gerade Verbindung 34"/>
          <xdr:cNvCxnSpPr/>
        </xdr:nvCxnSpPr>
        <xdr:spPr>
          <a:xfrm>
            <a:off x="952500" y="18288000"/>
            <a:ext cx="19278600" cy="25400"/>
          </a:xfrm>
          <a:prstGeom prst="line">
            <a:avLst/>
          </a:prstGeom>
          <a:ln w="762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101600</xdr:colOff>
      <xdr:row>42</xdr:row>
      <xdr:rowOff>100960</xdr:rowOff>
    </xdr:from>
    <xdr:to>
      <xdr:col>27</xdr:col>
      <xdr:colOff>702604</xdr:colOff>
      <xdr:row>44</xdr:row>
      <xdr:rowOff>190500</xdr:rowOff>
    </xdr:to>
    <xdr:pic>
      <xdr:nvPicPr>
        <xdr:cNvPr id="36" name="Grafik 3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9200" y="9892660"/>
          <a:ext cx="2887004" cy="546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406400</xdr:colOff>
      <xdr:row>54</xdr:row>
      <xdr:rowOff>50800</xdr:rowOff>
    </xdr:from>
    <xdr:to>
      <xdr:col>28</xdr:col>
      <xdr:colOff>0</xdr:colOff>
      <xdr:row>73</xdr:row>
      <xdr:rowOff>152400</xdr:rowOff>
    </xdr:to>
    <xdr:grpSp>
      <xdr:nvGrpSpPr>
        <xdr:cNvPr id="37" name="Gruppieren 36"/>
        <xdr:cNvGrpSpPr/>
      </xdr:nvGrpSpPr>
      <xdr:grpSpPr>
        <a:xfrm>
          <a:off x="406400" y="12700000"/>
          <a:ext cx="20269200" cy="4686300"/>
          <a:chOff x="444500" y="7505700"/>
          <a:chExt cx="20218400" cy="5537200"/>
        </a:xfrm>
      </xdr:grpSpPr>
      <xdr:graphicFrame macro="">
        <xdr:nvGraphicFramePr>
          <xdr:cNvPr id="38" name="Diagramm 37"/>
          <xdr:cNvGraphicFramePr/>
        </xdr:nvGraphicFramePr>
        <xdr:xfrm>
          <a:off x="444500" y="7505700"/>
          <a:ext cx="20218400" cy="5537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sp macro="" textlink="">
        <xdr:nvSpPr>
          <xdr:cNvPr id="39" name="Rechteck 38"/>
          <xdr:cNvSpPr/>
        </xdr:nvSpPr>
        <xdr:spPr>
          <a:xfrm rot="10800000" flipV="1">
            <a:off x="813931" y="10799335"/>
            <a:ext cx="19553146" cy="2130874"/>
          </a:xfrm>
          <a:prstGeom prst="rect">
            <a:avLst/>
          </a:prstGeom>
          <a:gradFill flip="none" rotWithShape="1">
            <a:gsLst>
              <a:gs pos="0">
                <a:srgbClr val="000082">
                  <a:alpha val="7000"/>
                  <a:lumMod val="0"/>
                </a:srgbClr>
              </a:gs>
              <a:gs pos="0">
                <a:srgbClr val="66008F">
                  <a:alpha val="0"/>
                </a:srgbClr>
              </a:gs>
              <a:gs pos="100000">
                <a:srgbClr val="002060"/>
              </a:gs>
              <a:gs pos="100000">
                <a:srgbClr val="FF0000"/>
              </a:gs>
              <a:gs pos="100000">
                <a:srgbClr val="FF8200"/>
              </a:gs>
            </a:gsLst>
            <a:lin ang="5400000" scaled="1"/>
            <a:tileRect/>
          </a:gra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40" name="Textfeld 39"/>
          <xdr:cNvSpPr txBox="1"/>
        </xdr:nvSpPr>
        <xdr:spPr>
          <a:xfrm>
            <a:off x="10449525" y="12412650"/>
            <a:ext cx="330206" cy="497041"/>
          </a:xfrm>
          <a:prstGeom prst="rect">
            <a:avLst/>
          </a:prstGeom>
          <a:solidFill>
            <a:schemeClr val="bg1">
              <a:lumMod val="75000"/>
            </a:schemeClr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de-DE" sz="2400"/>
              <a:t>S</a:t>
            </a:r>
          </a:p>
        </xdr:txBody>
      </xdr:sp>
      <xdr:sp macro="" textlink="">
        <xdr:nvSpPr>
          <xdr:cNvPr id="41" name="Textfeld 40"/>
          <xdr:cNvSpPr txBox="1"/>
        </xdr:nvSpPr>
        <xdr:spPr>
          <a:xfrm>
            <a:off x="5514188" y="12412650"/>
            <a:ext cx="378612" cy="504407"/>
          </a:xfrm>
          <a:prstGeom prst="rect">
            <a:avLst/>
          </a:prstGeom>
          <a:solidFill>
            <a:schemeClr val="bg1">
              <a:lumMod val="75000"/>
            </a:schemeClr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de-DE" sz="2400"/>
              <a:t>O</a:t>
            </a:r>
          </a:p>
        </xdr:txBody>
      </xdr:sp>
      <xdr:sp macro="" textlink="">
        <xdr:nvSpPr>
          <xdr:cNvPr id="42" name="Textfeld 41"/>
          <xdr:cNvSpPr txBox="1"/>
        </xdr:nvSpPr>
        <xdr:spPr>
          <a:xfrm>
            <a:off x="15267379" y="12382638"/>
            <a:ext cx="464302" cy="491407"/>
          </a:xfrm>
          <a:prstGeom prst="rect">
            <a:avLst/>
          </a:prstGeom>
          <a:solidFill>
            <a:schemeClr val="bg1">
              <a:lumMod val="75000"/>
            </a:schemeClr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de-DE" sz="2400"/>
              <a:t>W</a:t>
            </a:r>
          </a:p>
        </xdr:txBody>
      </xdr:sp>
      <xdr:sp macro="" textlink="">
        <xdr:nvSpPr>
          <xdr:cNvPr id="43" name="Textfeld 42"/>
          <xdr:cNvSpPr txBox="1"/>
        </xdr:nvSpPr>
        <xdr:spPr>
          <a:xfrm>
            <a:off x="842895" y="12427656"/>
            <a:ext cx="392287" cy="502101"/>
          </a:xfrm>
          <a:prstGeom prst="rect">
            <a:avLst/>
          </a:prstGeom>
          <a:solidFill>
            <a:schemeClr val="bg1">
              <a:lumMod val="75000"/>
            </a:schemeClr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de-DE" sz="2400"/>
              <a:t>N</a:t>
            </a:r>
          </a:p>
        </xdr:txBody>
      </xdr:sp>
      <xdr:sp macro="" textlink="">
        <xdr:nvSpPr>
          <xdr:cNvPr id="44" name="Textfeld 43"/>
          <xdr:cNvSpPr txBox="1"/>
        </xdr:nvSpPr>
        <xdr:spPr>
          <a:xfrm>
            <a:off x="19922697" y="12352627"/>
            <a:ext cx="443734" cy="574676"/>
          </a:xfrm>
          <a:prstGeom prst="rect">
            <a:avLst/>
          </a:prstGeom>
          <a:solidFill>
            <a:schemeClr val="bg1">
              <a:lumMod val="75000"/>
            </a:schemeClr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de-DE" sz="2400"/>
              <a:t>N</a:t>
            </a:r>
          </a:p>
        </xdr:txBody>
      </xdr:sp>
      <xdr:cxnSp macro="">
        <xdr:nvCxnSpPr>
          <xdr:cNvPr id="45" name="Gerade Verbindung 44"/>
          <xdr:cNvCxnSpPr/>
        </xdr:nvCxnSpPr>
        <xdr:spPr>
          <a:xfrm>
            <a:off x="849649" y="10819824"/>
            <a:ext cx="19530291" cy="20489"/>
          </a:xfrm>
          <a:prstGeom prst="line">
            <a:avLst/>
          </a:prstGeom>
          <a:ln w="762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15873</xdr:colOff>
      <xdr:row>34</xdr:row>
      <xdr:rowOff>63501</xdr:rowOff>
    </xdr:from>
    <xdr:to>
      <xdr:col>20</xdr:col>
      <xdr:colOff>101600</xdr:colOff>
      <xdr:row>35</xdr:row>
      <xdr:rowOff>88901</xdr:rowOff>
    </xdr:to>
    <xdr:pic>
      <xdr:nvPicPr>
        <xdr:cNvPr id="46" name="Grafik 4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5173" y="6635751"/>
          <a:ext cx="5791202" cy="21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63500</xdr:colOff>
      <xdr:row>41</xdr:row>
      <xdr:rowOff>135338</xdr:rowOff>
    </xdr:from>
    <xdr:to>
      <xdr:col>19</xdr:col>
      <xdr:colOff>101600</xdr:colOff>
      <xdr:row>44</xdr:row>
      <xdr:rowOff>0</xdr:rowOff>
    </xdr:to>
    <xdr:pic>
      <xdr:nvPicPr>
        <xdr:cNvPr id="48" name="Grafik 4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9698438"/>
          <a:ext cx="2108200" cy="550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38100</xdr:colOff>
      <xdr:row>24</xdr:row>
      <xdr:rowOff>152400</xdr:rowOff>
    </xdr:from>
    <xdr:to>
      <xdr:col>18</xdr:col>
      <xdr:colOff>567727</xdr:colOff>
      <xdr:row>26</xdr:row>
      <xdr:rowOff>154808</xdr:rowOff>
    </xdr:to>
    <xdr:pic>
      <xdr:nvPicPr>
        <xdr:cNvPr id="49" name="Grafik 4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0075" y="4724400"/>
          <a:ext cx="2282227" cy="3834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241300</xdr:colOff>
      <xdr:row>133</xdr:row>
      <xdr:rowOff>0</xdr:rowOff>
    </xdr:from>
    <xdr:ext cx="4191000" cy="238125"/>
    <xdr:pic>
      <xdr:nvPicPr>
        <xdr:cNvPr id="50" name="Grafik 49" descr="h \, = \, \arcsin(\cos(\delta) \cos(\tau) \cos(\varphi) + \sin(\delta) \sin(\varphi))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6275" y="19907250"/>
          <a:ext cx="4191000" cy="23812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16</xdr:col>
      <xdr:colOff>35832</xdr:colOff>
      <xdr:row>132</xdr:row>
      <xdr:rowOff>37193</xdr:rowOff>
    </xdr:from>
    <xdr:to>
      <xdr:col>19</xdr:col>
      <xdr:colOff>459468</xdr:colOff>
      <xdr:row>135</xdr:row>
      <xdr:rowOff>65001</xdr:rowOff>
    </xdr:to>
    <xdr:pic>
      <xdr:nvPicPr>
        <xdr:cNvPr id="51" name="Grafik 50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1582" y="23305407"/>
          <a:ext cx="2491922" cy="599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215367</xdr:colOff>
      <xdr:row>105</xdr:row>
      <xdr:rowOff>215900</xdr:rowOff>
    </xdr:from>
    <xdr:to>
      <xdr:col>20</xdr:col>
      <xdr:colOff>469900</xdr:colOff>
      <xdr:row>121</xdr:row>
      <xdr:rowOff>203200</xdr:rowOff>
    </xdr:to>
    <xdr:pic>
      <xdr:nvPicPr>
        <xdr:cNvPr id="53" name="Grafik 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harpenSoften amount="-47000"/>
                  </a14:imgEffect>
                  <a14:imgEffect>
                    <a14:brightnessContrast bright="18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5244567" y="22631400"/>
          <a:ext cx="9804933" cy="3848100"/>
        </a:xfrm>
        <a:prstGeom prst="rect">
          <a:avLst/>
        </a:prstGeom>
      </xdr:spPr>
    </xdr:pic>
    <xdr:clientData/>
  </xdr:twoCellAnchor>
  <xdr:twoCellAnchor>
    <xdr:from>
      <xdr:col>5</xdr:col>
      <xdr:colOff>228600</xdr:colOff>
      <xdr:row>113</xdr:row>
      <xdr:rowOff>216352</xdr:rowOff>
    </xdr:from>
    <xdr:to>
      <xdr:col>20</xdr:col>
      <xdr:colOff>469901</xdr:colOff>
      <xdr:row>114</xdr:row>
      <xdr:rowOff>0</xdr:rowOff>
    </xdr:to>
    <xdr:cxnSp macro="">
      <xdr:nvCxnSpPr>
        <xdr:cNvPr id="54" name="Gerader Verbinder 53"/>
        <xdr:cNvCxnSpPr>
          <a:endCxn id="52" idx="3"/>
        </xdr:cNvCxnSpPr>
      </xdr:nvCxnSpPr>
      <xdr:spPr>
        <a:xfrm flipV="1">
          <a:off x="5257800" y="24562252"/>
          <a:ext cx="9791701" cy="24948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215901</xdr:colOff>
      <xdr:row>103</xdr:row>
      <xdr:rowOff>88899</xdr:rowOff>
    </xdr:from>
    <xdr:to>
      <xdr:col>20</xdr:col>
      <xdr:colOff>469901</xdr:colOff>
      <xdr:row>124</xdr:row>
      <xdr:rowOff>102506</xdr:rowOff>
    </xdr:to>
    <xdr:graphicFrame macro="">
      <xdr:nvGraphicFramePr>
        <xdr:cNvPr id="52" name="Diagramm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76200</xdr:colOff>
      <xdr:row>42</xdr:row>
      <xdr:rowOff>76200</xdr:rowOff>
    </xdr:from>
    <xdr:to>
      <xdr:col>14</xdr:col>
      <xdr:colOff>342900</xdr:colOff>
      <xdr:row>44</xdr:row>
      <xdr:rowOff>139700</xdr:rowOff>
    </xdr:to>
    <xdr:pic>
      <xdr:nvPicPr>
        <xdr:cNvPr id="55" name="Grafik 54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9400" y="9867900"/>
          <a:ext cx="1981200" cy="52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48</xdr:row>
      <xdr:rowOff>0</xdr:rowOff>
    </xdr:from>
    <xdr:to>
      <xdr:col>14</xdr:col>
      <xdr:colOff>219075</xdr:colOff>
      <xdr:row>49</xdr:row>
      <xdr:rowOff>123825</xdr:rowOff>
    </xdr:to>
    <xdr:pic>
      <xdr:nvPicPr>
        <xdr:cNvPr id="47" name="Grafik 46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0" y="11144250"/>
          <a:ext cx="19240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31</xdr:row>
      <xdr:rowOff>0</xdr:rowOff>
    </xdr:from>
    <xdr:to>
      <xdr:col>21</xdr:col>
      <xdr:colOff>276225</xdr:colOff>
      <xdr:row>32</xdr:row>
      <xdr:rowOff>126370</xdr:rowOff>
    </xdr:to>
    <xdr:pic>
      <xdr:nvPicPr>
        <xdr:cNvPr id="56" name="Grafik 55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7277100"/>
          <a:ext cx="5368925" cy="354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81"/>
  <sheetViews>
    <sheetView showGridLines="0" tabSelected="1" zoomScale="66" zoomScaleNormal="66" workbookViewId="0">
      <selection activeCell="F17" sqref="F17"/>
    </sheetView>
  </sheetViews>
  <sheetFormatPr baseColWidth="10" defaultRowHeight="15" x14ac:dyDescent="0.25"/>
  <cols>
    <col min="1" max="1" width="7.42578125" style="1" customWidth="1"/>
    <col min="2" max="2" width="16.7109375" customWidth="1"/>
    <col min="3" max="3" width="18.7109375" customWidth="1"/>
    <col min="4" max="4" width="16.7109375" customWidth="1"/>
    <col min="5" max="5" width="6.42578125" customWidth="1"/>
    <col min="6" max="7" width="8.28515625" customWidth="1"/>
    <col min="8" max="8" width="9.85546875" customWidth="1"/>
    <col min="9" max="9" width="9.5703125" customWidth="1"/>
    <col min="10" max="10" width="9.7109375" customWidth="1"/>
    <col min="11" max="12" width="10.7109375" customWidth="1"/>
    <col min="13" max="13" width="16.140625" customWidth="1"/>
    <col min="15" max="15" width="20.42578125" customWidth="1"/>
    <col min="16" max="16" width="8.28515625" customWidth="1"/>
    <col min="17" max="19" width="12" customWidth="1"/>
    <col min="20" max="20" width="9.7109375" customWidth="1"/>
    <col min="21" max="21" width="11.42578125" customWidth="1"/>
    <col min="22" max="27" width="12" customWidth="1"/>
    <col min="29" max="29" width="5.7109375" customWidth="1"/>
    <col min="32" max="32" width="4" customWidth="1"/>
    <col min="34" max="36" width="12" customWidth="1"/>
  </cols>
  <sheetData>
    <row r="1" spans="1:33" s="1" customForma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3"/>
      <c r="AG1" s="2"/>
    </row>
    <row r="2" spans="1:33" s="1" customForma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3"/>
      <c r="AG2" s="2"/>
    </row>
    <row r="3" spans="1:33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3"/>
      <c r="AG3" s="4"/>
    </row>
    <row r="4" spans="1:33" ht="33.75" x14ac:dyDescent="0.5">
      <c r="A4" s="4"/>
      <c r="B4" s="5" t="s">
        <v>64</v>
      </c>
      <c r="C4" s="4"/>
      <c r="D4" s="123"/>
      <c r="E4" s="4"/>
      <c r="F4" s="4"/>
      <c r="G4" s="70"/>
      <c r="H4" s="4"/>
      <c r="I4" s="4"/>
      <c r="J4" s="4"/>
      <c r="K4" s="4"/>
      <c r="L4" s="4"/>
      <c r="M4" s="4"/>
      <c r="N4" s="4"/>
      <c r="O4" s="4"/>
      <c r="P4" s="4"/>
      <c r="Q4" s="69"/>
      <c r="R4" s="124"/>
      <c r="S4" s="71"/>
      <c r="T4" s="72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3"/>
      <c r="AG4" s="4"/>
    </row>
    <row r="5" spans="1:33" ht="33.75" x14ac:dyDescent="0.5">
      <c r="A5" s="4"/>
      <c r="B5" s="5" t="s">
        <v>96</v>
      </c>
      <c r="C5" s="4"/>
      <c r="D5" s="4"/>
      <c r="E5" s="4"/>
      <c r="F5" s="4"/>
      <c r="G5" s="4"/>
      <c r="H5" s="4"/>
      <c r="I5" s="4"/>
      <c r="J5" s="126" t="s">
        <v>61</v>
      </c>
      <c r="K5" s="127"/>
      <c r="L5" s="127"/>
      <c r="M5" s="127"/>
      <c r="N5" s="186"/>
      <c r="O5" s="128">
        <f>D13</f>
        <v>43170</v>
      </c>
      <c r="P5" s="126" t="s">
        <v>49</v>
      </c>
      <c r="Q5" s="187">
        <f>Tabelle2!J31</f>
        <v>0.93958333333333333</v>
      </c>
      <c r="R5" s="126" t="s">
        <v>48</v>
      </c>
      <c r="S5" s="126"/>
      <c r="T5" s="126"/>
      <c r="U5" s="129"/>
      <c r="V5" s="186"/>
      <c r="W5" s="4"/>
      <c r="X5" s="4"/>
      <c r="Y5" s="4"/>
      <c r="Z5" s="4"/>
      <c r="AA5" s="4"/>
      <c r="AB5" s="66" t="s">
        <v>95</v>
      </c>
      <c r="AC5" s="4"/>
      <c r="AD5" s="4"/>
      <c r="AE5" s="4"/>
      <c r="AF5" s="3"/>
      <c r="AG5" s="4"/>
    </row>
    <row r="6" spans="1:3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3"/>
      <c r="AG6" s="4"/>
    </row>
    <row r="7" spans="1:33" x14ac:dyDescent="0.2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3"/>
      <c r="AG7" s="4"/>
    </row>
    <row r="8" spans="1:33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3"/>
      <c r="AG8" s="4"/>
    </row>
    <row r="9" spans="1:33" ht="21" x14ac:dyDescent="0.35">
      <c r="A9" s="4"/>
      <c r="B9" s="72" t="s">
        <v>4</v>
      </c>
      <c r="C9" s="72"/>
      <c r="D9" s="107">
        <v>52</v>
      </c>
      <c r="E9" s="108" t="s">
        <v>8</v>
      </c>
      <c r="F9" s="107">
        <v>0</v>
      </c>
      <c r="G9" s="72" t="s">
        <v>44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3"/>
      <c r="AG9" s="4"/>
    </row>
    <row r="10" spans="1:33" ht="21" x14ac:dyDescent="0.35">
      <c r="A10" s="4"/>
      <c r="B10" s="72"/>
      <c r="C10" s="72"/>
      <c r="D10" s="108"/>
      <c r="E10" s="108"/>
      <c r="F10" s="108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3"/>
      <c r="AG10" s="4"/>
    </row>
    <row r="11" spans="1:33" ht="21" x14ac:dyDescent="0.35">
      <c r="A11" s="4"/>
      <c r="B11" s="72" t="s">
        <v>5</v>
      </c>
      <c r="C11" s="72"/>
      <c r="D11" s="107">
        <v>9</v>
      </c>
      <c r="E11" s="108" t="s">
        <v>8</v>
      </c>
      <c r="F11" s="107">
        <v>0</v>
      </c>
      <c r="G11" s="72" t="s">
        <v>44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3"/>
      <c r="AG11" s="4"/>
    </row>
    <row r="12" spans="1:33" ht="21" x14ac:dyDescent="0.35">
      <c r="A12" s="4"/>
      <c r="B12" s="72"/>
      <c r="C12" s="72"/>
      <c r="D12" s="108"/>
      <c r="E12" s="108"/>
      <c r="F12" s="108"/>
      <c r="G12" s="72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3"/>
      <c r="AG12" s="4"/>
    </row>
    <row r="13" spans="1:33" ht="21" x14ac:dyDescent="0.35">
      <c r="A13" s="4"/>
      <c r="B13" s="72" t="s">
        <v>11</v>
      </c>
      <c r="C13" s="72"/>
      <c r="D13" s="109">
        <v>43170</v>
      </c>
      <c r="E13" s="110"/>
      <c r="F13" s="108"/>
      <c r="G13" s="72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3"/>
      <c r="AG13" s="4"/>
    </row>
    <row r="14" spans="1:33" ht="21" x14ac:dyDescent="0.35">
      <c r="A14" s="4"/>
      <c r="B14" s="72"/>
      <c r="C14" s="72"/>
      <c r="D14" s="108"/>
      <c r="E14" s="108"/>
      <c r="F14" s="108"/>
      <c r="G14" s="72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3"/>
      <c r="AG14" s="9"/>
    </row>
    <row r="15" spans="1:33" ht="21" x14ac:dyDescent="0.35">
      <c r="A15" s="4"/>
      <c r="B15" s="72" t="s">
        <v>43</v>
      </c>
      <c r="C15" s="73">
        <v>43101</v>
      </c>
      <c r="D15" s="132">
        <f>Tabelle2!E28</f>
        <v>69.939583333333331</v>
      </c>
      <c r="E15" s="112" t="s">
        <v>63</v>
      </c>
      <c r="F15" s="108"/>
      <c r="G15" s="72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3"/>
      <c r="AG15" s="9"/>
    </row>
    <row r="16" spans="1:33" ht="21" x14ac:dyDescent="0.35">
      <c r="A16" s="4"/>
      <c r="B16" s="72"/>
      <c r="C16" s="72"/>
      <c r="D16" s="108"/>
      <c r="E16" s="108"/>
      <c r="F16" s="108"/>
      <c r="G16" s="72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3"/>
      <c r="AG16" s="9"/>
    </row>
    <row r="17" spans="1:33" ht="21" x14ac:dyDescent="0.35">
      <c r="A17" s="4"/>
      <c r="B17" s="72" t="s">
        <v>25</v>
      </c>
      <c r="C17" s="72"/>
      <c r="D17" s="111">
        <v>22</v>
      </c>
      <c r="E17" s="112" t="s">
        <v>7</v>
      </c>
      <c r="F17" s="107">
        <v>33</v>
      </c>
      <c r="G17" s="72" t="s">
        <v>24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3"/>
      <c r="AG17" s="9"/>
    </row>
    <row r="18" spans="1:33" x14ac:dyDescent="0.25">
      <c r="A18" s="4"/>
      <c r="B18" s="10"/>
      <c r="C18" s="10"/>
      <c r="D18" s="110"/>
      <c r="E18" s="110"/>
      <c r="F18" s="110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3"/>
      <c r="AG18" s="9"/>
    </row>
    <row r="19" spans="1:33" x14ac:dyDescent="0.25">
      <c r="A19" s="4"/>
      <c r="B19" s="10"/>
      <c r="C19" s="10"/>
      <c r="D19" s="110"/>
      <c r="E19" s="110"/>
      <c r="F19" s="110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3"/>
      <c r="AG19" s="9"/>
    </row>
    <row r="20" spans="1:33" s="1" customFormat="1" ht="21" x14ac:dyDescent="0.3">
      <c r="A20" s="4"/>
      <c r="B20" s="7" t="s">
        <v>9</v>
      </c>
      <c r="C20" s="10"/>
      <c r="D20" s="133">
        <f>Tabelle2!N22</f>
        <v>-35.59135157085268</v>
      </c>
      <c r="E20" s="108" t="s">
        <v>8</v>
      </c>
      <c r="F20" s="76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3"/>
      <c r="AG20" s="2"/>
    </row>
    <row r="21" spans="1:33" s="1" customFormat="1" x14ac:dyDescent="0.25">
      <c r="A21" s="4"/>
      <c r="B21" s="10"/>
      <c r="C21" s="10"/>
      <c r="D21" s="76"/>
      <c r="E21" s="76"/>
      <c r="F21" s="76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3"/>
      <c r="AG21" s="2"/>
    </row>
    <row r="22" spans="1:33" ht="21" x14ac:dyDescent="0.3">
      <c r="A22" s="4"/>
      <c r="B22" s="7" t="s">
        <v>0</v>
      </c>
      <c r="C22" s="10"/>
      <c r="D22" s="134">
        <f>Tabelle2!N26</f>
        <v>321.7812122821735</v>
      </c>
      <c r="E22" s="108" t="s">
        <v>8</v>
      </c>
      <c r="F22" s="76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3"/>
      <c r="AG22" s="4"/>
    </row>
    <row r="23" spans="1:33" x14ac:dyDescent="0.25">
      <c r="A23" s="4"/>
      <c r="B23" s="10"/>
      <c r="C23" s="10"/>
      <c r="D23" s="76"/>
      <c r="E23" s="76"/>
      <c r="F23" s="76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3"/>
      <c r="AG23" s="4"/>
    </row>
    <row r="24" spans="1:33" ht="21" x14ac:dyDescent="0.3">
      <c r="A24" s="4"/>
      <c r="B24" s="7" t="s">
        <v>62</v>
      </c>
      <c r="C24" s="10"/>
      <c r="D24" s="135">
        <f>Tabelle2!N31</f>
        <v>-3.7432511142393099</v>
      </c>
      <c r="E24" s="108" t="s">
        <v>8</v>
      </c>
      <c r="F24" s="76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3"/>
      <c r="AG24" s="4"/>
    </row>
    <row r="25" spans="1:33" ht="21" x14ac:dyDescent="0.35">
      <c r="A25" s="4"/>
      <c r="B25" s="10"/>
      <c r="C25" s="10"/>
      <c r="D25" s="76"/>
      <c r="E25" s="76"/>
      <c r="F25" s="76"/>
      <c r="G25" s="4"/>
      <c r="H25" s="4"/>
      <c r="I25" s="103"/>
      <c r="J25" s="96"/>
      <c r="K25" s="104"/>
      <c r="L25" s="105"/>
      <c r="M25" s="106"/>
      <c r="N25" s="4"/>
      <c r="O25" s="4"/>
      <c r="P25" s="102">
        <f>Tabelle2!B75</f>
        <v>52</v>
      </c>
      <c r="Q25" s="102" t="str">
        <f>Tabelle2!C75</f>
        <v>° Nördliche Breite</v>
      </c>
      <c r="R25" s="102"/>
      <c r="S25" s="4"/>
      <c r="T25" s="102">
        <f>Tabelle2!F75</f>
        <v>9</v>
      </c>
      <c r="U25" s="102" t="str">
        <f>Tabelle2!G75</f>
        <v>° Östliche Länge</v>
      </c>
      <c r="V25" s="7"/>
      <c r="W25" s="4"/>
      <c r="X25" s="4"/>
      <c r="Y25" s="4"/>
      <c r="Z25" s="4"/>
      <c r="AA25" s="4"/>
      <c r="AB25" s="4"/>
      <c r="AC25" s="4"/>
      <c r="AD25" s="4"/>
      <c r="AE25" s="4"/>
      <c r="AF25" s="3"/>
      <c r="AG25" s="4"/>
    </row>
    <row r="26" spans="1:33" ht="18.75" x14ac:dyDescent="0.25">
      <c r="A26" s="2"/>
      <c r="B26" s="10"/>
      <c r="C26" s="10"/>
      <c r="D26" s="76"/>
      <c r="E26" s="76"/>
      <c r="F26" s="113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3"/>
      <c r="AG26" s="4"/>
    </row>
    <row r="27" spans="1:33" ht="19.5" customHeight="1" x14ac:dyDescent="0.25">
      <c r="A27" s="4"/>
      <c r="B27" s="112" t="s">
        <v>31</v>
      </c>
      <c r="C27" s="112"/>
      <c r="D27" s="136">
        <f>Tabelle2!E32</f>
        <v>0.92291666666666672</v>
      </c>
      <c r="E27" s="112" t="s">
        <v>7</v>
      </c>
      <c r="F27" s="76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3"/>
      <c r="AG27" s="4"/>
    </row>
    <row r="28" spans="1:33" ht="18" customHeight="1" x14ac:dyDescent="0.25">
      <c r="A28" s="4"/>
      <c r="B28" s="112"/>
      <c r="C28" s="112"/>
      <c r="D28" s="76"/>
      <c r="E28" s="137"/>
      <c r="F28" s="113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3"/>
      <c r="AG28" s="4"/>
    </row>
    <row r="29" spans="1:33" ht="18.75" x14ac:dyDescent="0.25">
      <c r="A29" s="4"/>
      <c r="B29" s="112" t="s">
        <v>33</v>
      </c>
      <c r="C29" s="131"/>
      <c r="D29" s="133">
        <f>Tabelle2!E34</f>
        <v>-10.104491380581097</v>
      </c>
      <c r="E29" s="112" t="s">
        <v>24</v>
      </c>
      <c r="F29" s="76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3"/>
      <c r="AG29" s="4"/>
    </row>
    <row r="30" spans="1:33" ht="18.75" x14ac:dyDescent="0.25">
      <c r="A30" s="4"/>
      <c r="B30" s="112"/>
      <c r="C30" s="112"/>
      <c r="D30" s="76"/>
      <c r="E30" s="137"/>
      <c r="F30" s="112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3"/>
      <c r="AG30" s="4"/>
    </row>
    <row r="31" spans="1:33" ht="18.75" x14ac:dyDescent="0.25">
      <c r="A31" s="4"/>
      <c r="B31" s="112" t="s">
        <v>32</v>
      </c>
      <c r="C31" s="112"/>
      <c r="D31" s="136">
        <f>Tabelle2!E36</f>
        <v>0.91589965876348545</v>
      </c>
      <c r="E31" s="113" t="s">
        <v>7</v>
      </c>
      <c r="F31" s="76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3"/>
      <c r="AG31" s="4"/>
    </row>
    <row r="32" spans="1:33" x14ac:dyDescent="0.25">
      <c r="A32" s="4"/>
      <c r="B32" s="10"/>
      <c r="C32" s="10"/>
      <c r="D32" s="76"/>
      <c r="E32" s="76"/>
      <c r="F32" s="76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3"/>
      <c r="AG32" s="4"/>
    </row>
    <row r="33" spans="1:33" x14ac:dyDescent="0.25">
      <c r="A33" s="4"/>
      <c r="B33" s="10"/>
      <c r="C33" s="10"/>
      <c r="D33" s="76"/>
      <c r="E33" s="76"/>
      <c r="F33" s="76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3"/>
      <c r="AG33" s="4"/>
    </row>
    <row r="34" spans="1:33" ht="18.75" x14ac:dyDescent="0.3">
      <c r="A34" s="4"/>
      <c r="B34" s="47" t="s">
        <v>53</v>
      </c>
      <c r="C34" s="47"/>
      <c r="D34" s="133">
        <f>Tabelle2!E38</f>
        <v>149.72387715485473</v>
      </c>
      <c r="E34" s="85" t="s">
        <v>8</v>
      </c>
      <c r="F34" s="76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3"/>
      <c r="AG34" s="4"/>
    </row>
    <row r="35" spans="1:33" x14ac:dyDescent="0.25">
      <c r="A35" s="4"/>
      <c r="B35" s="10"/>
      <c r="C35" s="10"/>
      <c r="D35" s="76"/>
      <c r="E35" s="76"/>
      <c r="F35" s="76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3"/>
      <c r="AG35" s="4"/>
    </row>
    <row r="36" spans="1:33" ht="21" x14ac:dyDescent="0.3">
      <c r="A36" s="4"/>
      <c r="B36" s="7" t="s">
        <v>50</v>
      </c>
      <c r="C36" s="10"/>
      <c r="D36" s="138">
        <f>IFERROR(Tabelle2!E41,"XXX")</f>
        <v>0.28471472743014292</v>
      </c>
      <c r="E36" s="112" t="s">
        <v>7</v>
      </c>
      <c r="F36" s="139">
        <f>IFERROR(Tabelle2!H41,"XXX")</f>
        <v>96.087168060024425</v>
      </c>
      <c r="G36" s="101" t="s">
        <v>8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3"/>
      <c r="AG36" s="4"/>
    </row>
    <row r="37" spans="1:33" ht="18.75" x14ac:dyDescent="0.25">
      <c r="A37" s="4"/>
      <c r="B37" s="10"/>
      <c r="C37" s="10"/>
      <c r="D37" s="76"/>
      <c r="E37" s="137"/>
      <c r="F37" s="140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3"/>
      <c r="AG37" s="4"/>
    </row>
    <row r="38" spans="1:33" ht="21" x14ac:dyDescent="0.3">
      <c r="A38" s="4"/>
      <c r="B38" s="7" t="s">
        <v>94</v>
      </c>
      <c r="C38" s="4"/>
      <c r="D38" s="181">
        <f>IFERROR(Tabelle2!E51,"XXX")</f>
        <v>37.842937830112348</v>
      </c>
      <c r="E38" s="108" t="s">
        <v>8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3"/>
      <c r="AG38" s="4"/>
    </row>
    <row r="39" spans="1:33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3"/>
      <c r="AG39" s="4"/>
    </row>
    <row r="40" spans="1:33" ht="21" x14ac:dyDescent="0.3">
      <c r="A40" s="4"/>
      <c r="B40" s="7" t="s">
        <v>97</v>
      </c>
      <c r="C40" s="10"/>
      <c r="D40" s="136">
        <f>Tabelle2!E43</f>
        <v>0.52368367456984799</v>
      </c>
      <c r="E40" s="112" t="s">
        <v>7</v>
      </c>
      <c r="F40" s="133">
        <f>Tabelle2!H43</f>
        <v>180</v>
      </c>
      <c r="G40" s="101" t="s">
        <v>8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3"/>
      <c r="AG40" s="4"/>
    </row>
    <row r="41" spans="1:33" ht="18.75" x14ac:dyDescent="0.25">
      <c r="A41" s="4"/>
      <c r="B41" s="10"/>
      <c r="C41" s="10"/>
      <c r="D41" s="141"/>
      <c r="E41" s="137"/>
      <c r="F41" s="142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3"/>
      <c r="AG41" s="4"/>
    </row>
    <row r="42" spans="1:33" ht="21" x14ac:dyDescent="0.3">
      <c r="A42" s="4"/>
      <c r="B42" s="7" t="s">
        <v>93</v>
      </c>
      <c r="C42" s="4"/>
      <c r="D42" s="188">
        <f>Tabelle2!E45</f>
        <v>34.256748885760693</v>
      </c>
      <c r="E42" s="108" t="s">
        <v>8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3"/>
      <c r="AG42" s="4"/>
    </row>
    <row r="43" spans="1:33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3"/>
      <c r="AG43" s="4"/>
    </row>
    <row r="44" spans="1:33" ht="21" x14ac:dyDescent="0.3">
      <c r="A44" s="4"/>
      <c r="B44" s="7" t="s">
        <v>51</v>
      </c>
      <c r="C44" s="10"/>
      <c r="D44" s="143">
        <f>IFERROR(Tabelle2!E47,"XXX")</f>
        <v>0.76266097420441559</v>
      </c>
      <c r="E44" s="57" t="s">
        <v>7</v>
      </c>
      <c r="F44" s="139">
        <f>IFERROR(Tabelle2!H47,"XXX")</f>
        <v>263.9128319399756</v>
      </c>
      <c r="G44" s="101" t="s">
        <v>8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3"/>
      <c r="AG44" s="4"/>
    </row>
    <row r="45" spans="1:33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3"/>
      <c r="AG45" s="4"/>
    </row>
    <row r="46" spans="1:33" ht="18.75" x14ac:dyDescent="0.3">
      <c r="A46" s="4"/>
      <c r="B46" s="7" t="s">
        <v>89</v>
      </c>
      <c r="C46" s="4"/>
      <c r="D46" s="185">
        <f>Tabelle2!E49*24</f>
        <v>11.470509462705845</v>
      </c>
      <c r="E46" s="4" t="s">
        <v>7</v>
      </c>
      <c r="F46" s="4"/>
      <c r="G46" s="4"/>
      <c r="H46" s="4"/>
      <c r="I46" s="7" t="s">
        <v>66</v>
      </c>
      <c r="J46" s="4"/>
      <c r="K46" s="4"/>
      <c r="L46" s="4"/>
      <c r="M46" s="4"/>
      <c r="N46" s="4"/>
      <c r="O46" s="4"/>
      <c r="P46" s="4"/>
      <c r="Q46" s="7" t="s">
        <v>52</v>
      </c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 t="s">
        <v>92</v>
      </c>
      <c r="AD46" s="4"/>
      <c r="AE46" s="4"/>
      <c r="AF46" s="3"/>
      <c r="AG46" s="4"/>
    </row>
    <row r="47" spans="1:33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3"/>
      <c r="AG47" s="4"/>
    </row>
    <row r="48" spans="1:33" ht="21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4"/>
    </row>
    <row r="49" spans="1:33" x14ac:dyDescent="0.25">
      <c r="A49" s="2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x14ac:dyDescent="0.25">
      <c r="A50" s="2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x14ac:dyDescent="0.25">
      <c r="AD51" s="4"/>
    </row>
    <row r="52" spans="1:33" x14ac:dyDescent="0.25">
      <c r="AD52" s="4"/>
    </row>
    <row r="53" spans="1:33" x14ac:dyDescent="0.25">
      <c r="AD53" s="4"/>
    </row>
    <row r="54" spans="1:33" ht="18.75" x14ac:dyDescent="0.3">
      <c r="C54" s="13"/>
      <c r="AD54" s="4"/>
    </row>
    <row r="55" spans="1:33" x14ac:dyDescent="0.25">
      <c r="AD55" s="4"/>
    </row>
    <row r="56" spans="1:33" x14ac:dyDescent="0.25">
      <c r="AD56" s="4"/>
    </row>
    <row r="57" spans="1:33" x14ac:dyDescent="0.25">
      <c r="AD57" s="4"/>
    </row>
    <row r="58" spans="1:33" x14ac:dyDescent="0.25">
      <c r="AD58" s="4"/>
    </row>
    <row r="59" spans="1:33" x14ac:dyDescent="0.25">
      <c r="AD59" s="4"/>
    </row>
    <row r="60" spans="1:33" x14ac:dyDescent="0.25">
      <c r="AD60" s="4"/>
    </row>
    <row r="61" spans="1:33" x14ac:dyDescent="0.25">
      <c r="AD61" s="4"/>
    </row>
    <row r="62" spans="1:33" x14ac:dyDescent="0.25">
      <c r="AD62" s="4"/>
    </row>
    <row r="63" spans="1:33" x14ac:dyDescent="0.25">
      <c r="AD63" s="4"/>
    </row>
    <row r="64" spans="1:33" x14ac:dyDescent="0.25">
      <c r="AD64" s="4"/>
    </row>
    <row r="65" spans="30:30" x14ac:dyDescent="0.25">
      <c r="AD65" s="4"/>
    </row>
    <row r="66" spans="30:30" x14ac:dyDescent="0.25">
      <c r="AD66" s="4"/>
    </row>
    <row r="67" spans="30:30" x14ac:dyDescent="0.25">
      <c r="AD67" s="4"/>
    </row>
    <row r="68" spans="30:30" x14ac:dyDescent="0.25">
      <c r="AD68" s="4"/>
    </row>
    <row r="69" spans="30:30" x14ac:dyDescent="0.25">
      <c r="AD69" s="4"/>
    </row>
    <row r="70" spans="30:30" x14ac:dyDescent="0.25">
      <c r="AD70" s="4"/>
    </row>
    <row r="71" spans="30:30" x14ac:dyDescent="0.25">
      <c r="AD71" s="4"/>
    </row>
    <row r="72" spans="30:30" s="1" customFormat="1" x14ac:dyDescent="0.25">
      <c r="AD72" s="2"/>
    </row>
    <row r="73" spans="30:30" x14ac:dyDescent="0.25">
      <c r="AD73" s="4"/>
    </row>
    <row r="74" spans="30:30" x14ac:dyDescent="0.25">
      <c r="AD74" s="4"/>
    </row>
    <row r="75" spans="30:30" x14ac:dyDescent="0.25">
      <c r="AD75" s="4"/>
    </row>
    <row r="76" spans="30:30" x14ac:dyDescent="0.25">
      <c r="AD76" s="4"/>
    </row>
    <row r="77" spans="30:30" x14ac:dyDescent="0.25">
      <c r="AD77" s="4"/>
    </row>
    <row r="78" spans="30:30" x14ac:dyDescent="0.25">
      <c r="AD78" s="4"/>
    </row>
    <row r="79" spans="30:30" x14ac:dyDescent="0.25">
      <c r="AD79" s="4"/>
    </row>
    <row r="80" spans="30:30" x14ac:dyDescent="0.25">
      <c r="AD80" s="4"/>
    </row>
    <row r="81" spans="30:30" x14ac:dyDescent="0.25">
      <c r="AD81" s="4"/>
    </row>
    <row r="82" spans="30:30" x14ac:dyDescent="0.25">
      <c r="AD82" s="4"/>
    </row>
    <row r="83" spans="30:30" x14ac:dyDescent="0.25">
      <c r="AD83" s="4"/>
    </row>
    <row r="84" spans="30:30" x14ac:dyDescent="0.25">
      <c r="AD84" s="4"/>
    </row>
    <row r="85" spans="30:30" x14ac:dyDescent="0.25">
      <c r="AD85" s="4"/>
    </row>
    <row r="86" spans="30:30" x14ac:dyDescent="0.25">
      <c r="AD86" s="4"/>
    </row>
    <row r="87" spans="30:30" x14ac:dyDescent="0.25">
      <c r="AD87" s="4"/>
    </row>
    <row r="88" spans="30:30" x14ac:dyDescent="0.25">
      <c r="AD88" s="4"/>
    </row>
    <row r="89" spans="30:30" x14ac:dyDescent="0.25">
      <c r="AD89" s="4"/>
    </row>
    <row r="90" spans="30:30" x14ac:dyDescent="0.25">
      <c r="AD90" s="4"/>
    </row>
    <row r="91" spans="30:30" x14ac:dyDescent="0.25">
      <c r="AD91" s="4"/>
    </row>
    <row r="92" spans="30:30" x14ac:dyDescent="0.25">
      <c r="AD92" s="4"/>
    </row>
    <row r="93" spans="30:30" x14ac:dyDescent="0.25">
      <c r="AD93" s="4"/>
    </row>
    <row r="94" spans="30:30" x14ac:dyDescent="0.25">
      <c r="AD94" s="4"/>
    </row>
    <row r="95" spans="30:30" x14ac:dyDescent="0.25">
      <c r="AD95" s="4"/>
    </row>
    <row r="96" spans="30:30" x14ac:dyDescent="0.25">
      <c r="AD96" s="4"/>
    </row>
    <row r="97" spans="30:42" x14ac:dyDescent="0.25">
      <c r="AD97" s="4"/>
    </row>
    <row r="98" spans="30:42" x14ac:dyDescent="0.25">
      <c r="AD98" s="4"/>
    </row>
    <row r="99" spans="30:42" x14ac:dyDescent="0.25">
      <c r="AD99" s="4"/>
    </row>
    <row r="100" spans="30:42" x14ac:dyDescent="0.25">
      <c r="AD100" s="4"/>
    </row>
    <row r="101" spans="30:42" s="1" customFormat="1" x14ac:dyDescent="0.25">
      <c r="AD101" s="2"/>
      <c r="AG101" s="25"/>
      <c r="AH101" s="25"/>
      <c r="AI101" s="25"/>
      <c r="AJ101" s="25"/>
      <c r="AK101" s="26"/>
    </row>
    <row r="102" spans="30:42" x14ac:dyDescent="0.25">
      <c r="AD102" s="4"/>
      <c r="AG102" s="25"/>
      <c r="AH102" s="25"/>
      <c r="AI102" s="25"/>
      <c r="AJ102" s="25"/>
    </row>
    <row r="103" spans="30:42" x14ac:dyDescent="0.25">
      <c r="AD103" s="4"/>
      <c r="AG103" s="25"/>
      <c r="AH103" s="25"/>
      <c r="AI103" s="29"/>
      <c r="AJ103" s="30"/>
      <c r="AM103" s="28"/>
      <c r="AP103" s="27"/>
    </row>
    <row r="104" spans="30:42" x14ac:dyDescent="0.25">
      <c r="AD104" s="4"/>
      <c r="AG104" s="25"/>
      <c r="AH104" s="25"/>
      <c r="AI104" s="29"/>
      <c r="AJ104" s="30"/>
      <c r="AM104" s="28"/>
      <c r="AP104" s="27"/>
    </row>
    <row r="105" spans="30:42" x14ac:dyDescent="0.25">
      <c r="AD105" s="4"/>
      <c r="AG105" s="25"/>
      <c r="AH105" s="25"/>
      <c r="AI105" s="29"/>
      <c r="AJ105" s="30"/>
      <c r="AM105" s="28"/>
      <c r="AP105" s="27"/>
    </row>
    <row r="106" spans="30:42" x14ac:dyDescent="0.25">
      <c r="AD106" s="4"/>
      <c r="AG106" s="25"/>
      <c r="AH106" s="25"/>
      <c r="AI106" s="29"/>
      <c r="AJ106" s="30"/>
      <c r="AM106" s="28"/>
      <c r="AP106" s="27"/>
    </row>
    <row r="107" spans="30:42" x14ac:dyDescent="0.25">
      <c r="AD107" s="4"/>
      <c r="AG107" s="25"/>
      <c r="AH107" s="25"/>
      <c r="AI107" s="29"/>
      <c r="AJ107" s="30"/>
      <c r="AM107" s="28"/>
      <c r="AP107" s="27"/>
    </row>
    <row r="108" spans="30:42" x14ac:dyDescent="0.25">
      <c r="AD108" s="4"/>
      <c r="AG108" s="25"/>
      <c r="AH108" s="25"/>
      <c r="AI108" s="29"/>
      <c r="AJ108" s="30"/>
      <c r="AM108" s="28"/>
      <c r="AP108" s="27"/>
    </row>
    <row r="109" spans="30:42" x14ac:dyDescent="0.25">
      <c r="AD109" s="4"/>
      <c r="AG109" s="25"/>
      <c r="AH109" s="25"/>
      <c r="AI109" s="29"/>
      <c r="AJ109" s="30"/>
      <c r="AM109" s="28"/>
      <c r="AP109" s="27"/>
    </row>
    <row r="110" spans="30:42" x14ac:dyDescent="0.25">
      <c r="AD110" s="4"/>
      <c r="AG110" s="25"/>
      <c r="AH110" s="25"/>
      <c r="AI110" s="29"/>
      <c r="AJ110" s="30"/>
      <c r="AM110" s="28"/>
      <c r="AP110" s="27"/>
    </row>
    <row r="111" spans="30:42" x14ac:dyDescent="0.25">
      <c r="AD111" s="4"/>
      <c r="AG111" s="25"/>
      <c r="AH111" s="25"/>
      <c r="AI111" s="29"/>
      <c r="AJ111" s="30"/>
      <c r="AM111" s="28"/>
      <c r="AP111" s="27"/>
    </row>
    <row r="112" spans="30:42" x14ac:dyDescent="0.25">
      <c r="AD112" s="4"/>
      <c r="AG112" s="25"/>
      <c r="AH112" s="25"/>
      <c r="AI112" s="29"/>
      <c r="AJ112" s="30"/>
      <c r="AM112" s="28"/>
      <c r="AP112" s="27"/>
    </row>
    <row r="113" spans="30:42" x14ac:dyDescent="0.25">
      <c r="AD113" s="4"/>
      <c r="AG113" s="25"/>
      <c r="AH113" s="25"/>
      <c r="AI113" s="29"/>
      <c r="AJ113" s="30"/>
      <c r="AM113" s="28"/>
      <c r="AP113" s="27"/>
    </row>
    <row r="114" spans="30:42" x14ac:dyDescent="0.25">
      <c r="AD114" s="4"/>
      <c r="AG114" s="25"/>
      <c r="AH114" s="25"/>
      <c r="AI114" s="29"/>
      <c r="AJ114" s="30"/>
      <c r="AM114" s="28"/>
      <c r="AP114" s="27"/>
    </row>
    <row r="115" spans="30:42" x14ac:dyDescent="0.25">
      <c r="AD115" s="4"/>
      <c r="AG115" s="25"/>
      <c r="AH115" s="25"/>
      <c r="AI115" s="29"/>
      <c r="AJ115" s="30"/>
      <c r="AM115" s="28"/>
      <c r="AP115" s="27"/>
    </row>
    <row r="116" spans="30:42" x14ac:dyDescent="0.25">
      <c r="AD116" s="4"/>
      <c r="AG116" s="25"/>
      <c r="AH116" s="25"/>
      <c r="AI116" s="29"/>
      <c r="AJ116" s="30"/>
      <c r="AM116" s="28"/>
      <c r="AP116" s="27"/>
    </row>
    <row r="117" spans="30:42" x14ac:dyDescent="0.25">
      <c r="AD117" s="4"/>
      <c r="AG117" s="25"/>
      <c r="AH117" s="25"/>
      <c r="AI117" s="29"/>
      <c r="AJ117" s="30"/>
      <c r="AM117" s="28"/>
      <c r="AP117" s="27"/>
    </row>
    <row r="118" spans="30:42" x14ac:dyDescent="0.25">
      <c r="AD118" s="4"/>
      <c r="AG118" s="25"/>
      <c r="AH118" s="25"/>
      <c r="AI118" s="29"/>
      <c r="AJ118" s="30"/>
      <c r="AM118" s="28"/>
      <c r="AP118" s="27"/>
    </row>
    <row r="119" spans="30:42" x14ac:dyDescent="0.25">
      <c r="AD119" s="4"/>
      <c r="AG119" s="25"/>
      <c r="AH119" s="25"/>
      <c r="AI119" s="29"/>
      <c r="AJ119" s="30"/>
      <c r="AM119" s="28"/>
      <c r="AP119" s="27"/>
    </row>
    <row r="120" spans="30:42" x14ac:dyDescent="0.25">
      <c r="AD120" s="4"/>
      <c r="AG120" s="25"/>
      <c r="AH120" s="25"/>
      <c r="AI120" s="29"/>
      <c r="AJ120" s="30"/>
      <c r="AM120" s="28"/>
      <c r="AP120" s="27"/>
    </row>
    <row r="121" spans="30:42" x14ac:dyDescent="0.25">
      <c r="AD121" s="4"/>
      <c r="AG121" s="25"/>
      <c r="AH121" s="25"/>
      <c r="AI121" s="29"/>
      <c r="AJ121" s="30"/>
      <c r="AM121" s="28"/>
      <c r="AP121" s="27"/>
    </row>
    <row r="122" spans="30:42" x14ac:dyDescent="0.25">
      <c r="AD122" s="4"/>
      <c r="AG122" s="25"/>
      <c r="AH122" s="25"/>
      <c r="AI122" s="29"/>
      <c r="AJ122" s="30"/>
      <c r="AM122" s="28"/>
      <c r="AP122" s="27"/>
    </row>
    <row r="123" spans="30:42" x14ac:dyDescent="0.25">
      <c r="AD123" s="4"/>
      <c r="AG123" s="25"/>
      <c r="AH123" s="25"/>
      <c r="AI123" s="29"/>
      <c r="AJ123" s="30"/>
      <c r="AM123" s="28"/>
      <c r="AP123" s="27"/>
    </row>
    <row r="124" spans="30:42" x14ac:dyDescent="0.25">
      <c r="AD124" s="4"/>
      <c r="AG124" s="25"/>
      <c r="AH124" s="25"/>
      <c r="AI124" s="29"/>
      <c r="AJ124" s="30"/>
      <c r="AM124" s="28"/>
      <c r="AP124" s="27"/>
    </row>
    <row r="125" spans="30:42" x14ac:dyDescent="0.25">
      <c r="AD125" s="4"/>
      <c r="AG125" s="25"/>
      <c r="AH125" s="25"/>
      <c r="AI125" s="29"/>
      <c r="AJ125" s="30"/>
      <c r="AM125" s="28"/>
      <c r="AP125" s="27"/>
    </row>
    <row r="126" spans="30:42" x14ac:dyDescent="0.25">
      <c r="AD126" s="4"/>
      <c r="AG126" s="25"/>
      <c r="AH126" s="25"/>
      <c r="AI126" s="29"/>
      <c r="AJ126" s="30"/>
      <c r="AM126" s="28"/>
      <c r="AP126" s="27"/>
    </row>
    <row r="127" spans="30:42" x14ac:dyDescent="0.25">
      <c r="AD127" s="4"/>
      <c r="AG127" s="25"/>
      <c r="AH127" s="25"/>
      <c r="AI127" s="29"/>
      <c r="AJ127" s="30"/>
      <c r="AM127" s="28"/>
      <c r="AP127" s="27"/>
    </row>
    <row r="128" spans="30:42" s="1" customFormat="1" x14ac:dyDescent="0.25">
      <c r="AD128" s="2"/>
    </row>
    <row r="129" spans="1:36" s="1" customFormat="1" x14ac:dyDescent="0.25">
      <c r="AD129" s="2"/>
    </row>
    <row r="130" spans="1:36" s="1" customFormat="1" x14ac:dyDescent="0.25">
      <c r="AD130" s="2"/>
    </row>
    <row r="131" spans="1:36" x14ac:dyDescent="0.25">
      <c r="A131" s="2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spans="1:36" x14ac:dyDescent="0.25">
      <c r="A132" s="2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spans="1:36" x14ac:dyDescent="0.25">
      <c r="A133" s="2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spans="1:36" x14ac:dyDescent="0.25">
      <c r="A134" s="2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spans="1:36" x14ac:dyDescent="0.25">
      <c r="A135" s="2"/>
      <c r="B135" s="4"/>
      <c r="C135" s="4"/>
      <c r="D135" s="4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6" x14ac:dyDescent="0.25">
      <c r="A136" s="2"/>
      <c r="B136" s="4"/>
      <c r="C136" s="4"/>
      <c r="D136" s="4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6" x14ac:dyDescent="0.25">
      <c r="A137" s="2"/>
      <c r="B137" s="4"/>
      <c r="C137" s="4"/>
      <c r="D137" s="4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6" x14ac:dyDescent="0.25">
      <c r="A138" s="2"/>
      <c r="B138" s="4"/>
      <c r="C138" s="4"/>
      <c r="D138" s="4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6" x14ac:dyDescent="0.25">
      <c r="A139" s="2"/>
      <c r="B139" s="4"/>
      <c r="C139" s="4"/>
      <c r="D139" s="4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1:36" x14ac:dyDescent="0.25">
      <c r="A140" s="2"/>
      <c r="B140" s="4"/>
      <c r="C140" s="4"/>
      <c r="D140" s="4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1:36" x14ac:dyDescent="0.25">
      <c r="A141" s="2"/>
      <c r="B141" s="4"/>
      <c r="C141" s="4"/>
      <c r="D141" s="4"/>
      <c r="E141" s="96"/>
      <c r="F141" s="96"/>
      <c r="G141" s="97"/>
      <c r="H141" s="98"/>
      <c r="I141" s="98"/>
      <c r="J141" s="98"/>
      <c r="K141" s="97"/>
      <c r="L141" s="97"/>
      <c r="M141" s="98"/>
      <c r="N141" s="98"/>
      <c r="O141" s="96"/>
      <c r="P141" s="96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31"/>
      <c r="AF141" s="31"/>
      <c r="AG141" s="32"/>
      <c r="AH141" s="32"/>
      <c r="AI141" s="32"/>
      <c r="AJ141" s="32"/>
    </row>
    <row r="142" spans="1:36" x14ac:dyDescent="0.25">
      <c r="E142" s="35"/>
      <c r="F142" s="35"/>
      <c r="G142" s="33"/>
      <c r="H142" s="34"/>
      <c r="I142" s="34"/>
      <c r="J142" s="34"/>
      <c r="K142" s="33"/>
      <c r="L142" s="33"/>
      <c r="M142" s="34"/>
      <c r="N142" s="34"/>
      <c r="O142" s="35"/>
      <c r="P142" s="35"/>
      <c r="AE142" s="33"/>
      <c r="AF142" s="33"/>
      <c r="AG142" s="34"/>
      <c r="AH142" s="34"/>
      <c r="AI142" s="34"/>
      <c r="AJ142" s="34"/>
    </row>
    <row r="143" spans="1:36" x14ac:dyDescent="0.25">
      <c r="E143" s="35"/>
      <c r="F143" s="35"/>
      <c r="G143" s="33"/>
      <c r="H143" s="34"/>
      <c r="I143" s="34"/>
      <c r="J143" s="34"/>
      <c r="K143" s="33"/>
      <c r="L143" s="33"/>
      <c r="M143" s="34"/>
      <c r="N143" s="34"/>
      <c r="O143" s="35"/>
      <c r="P143" s="35"/>
      <c r="AE143" s="33"/>
      <c r="AF143" s="33"/>
      <c r="AG143" s="34"/>
      <c r="AH143" s="34"/>
      <c r="AI143" s="34"/>
      <c r="AJ143" s="34"/>
    </row>
    <row r="144" spans="1:36" x14ac:dyDescent="0.25">
      <c r="E144" s="35"/>
      <c r="F144" s="35"/>
      <c r="G144" s="33"/>
      <c r="H144" s="34"/>
      <c r="I144" s="34"/>
      <c r="J144" s="34"/>
      <c r="K144" s="33"/>
      <c r="L144" s="33"/>
      <c r="M144" s="34"/>
      <c r="N144" s="34"/>
      <c r="O144" s="35"/>
      <c r="P144" s="35"/>
      <c r="AE144" s="33"/>
      <c r="AF144" s="33"/>
      <c r="AG144" s="34"/>
      <c r="AH144" s="34"/>
      <c r="AI144" s="34"/>
      <c r="AJ144" s="34"/>
    </row>
    <row r="145" spans="5:36" x14ac:dyDescent="0.25">
      <c r="E145" s="35"/>
      <c r="F145" s="35"/>
      <c r="G145" s="33"/>
      <c r="H145" s="34"/>
      <c r="I145" s="34"/>
      <c r="J145" s="34"/>
      <c r="K145" s="33"/>
      <c r="L145" s="33"/>
      <c r="M145" s="34"/>
      <c r="N145" s="34"/>
      <c r="O145" s="35"/>
      <c r="P145" s="35"/>
      <c r="AE145" s="33"/>
      <c r="AF145" s="33"/>
      <c r="AG145" s="34"/>
      <c r="AH145" s="34"/>
      <c r="AI145" s="34"/>
      <c r="AJ145" s="34"/>
    </row>
    <row r="146" spans="5:36" x14ac:dyDescent="0.25">
      <c r="E146" s="35"/>
      <c r="F146" s="35"/>
      <c r="G146" s="33"/>
      <c r="H146" s="34"/>
      <c r="I146" s="34"/>
      <c r="J146" s="34"/>
      <c r="K146" s="33"/>
      <c r="L146" s="33"/>
      <c r="M146" s="34"/>
      <c r="N146" s="34"/>
      <c r="O146" s="35"/>
      <c r="P146" s="35"/>
      <c r="AE146" s="33"/>
      <c r="AF146" s="33"/>
      <c r="AG146" s="34"/>
      <c r="AH146" s="34"/>
      <c r="AI146" s="34"/>
      <c r="AJ146" s="34"/>
    </row>
    <row r="147" spans="5:36" x14ac:dyDescent="0.25">
      <c r="E147" s="35"/>
      <c r="F147" s="35"/>
      <c r="G147" s="33"/>
      <c r="H147" s="34"/>
      <c r="I147" s="34"/>
      <c r="J147" s="34"/>
      <c r="K147" s="33"/>
      <c r="L147" s="33"/>
      <c r="M147" s="34"/>
      <c r="N147" s="34"/>
      <c r="O147" s="35"/>
      <c r="P147" s="35"/>
      <c r="AE147" s="33"/>
      <c r="AF147" s="33"/>
      <c r="AG147" s="34"/>
      <c r="AH147" s="34"/>
      <c r="AI147" s="34"/>
      <c r="AJ147" s="34"/>
    </row>
    <row r="148" spans="5:36" x14ac:dyDescent="0.25">
      <c r="E148" s="35"/>
      <c r="F148" s="35"/>
      <c r="G148" s="33"/>
      <c r="H148" s="34"/>
      <c r="I148" s="34"/>
      <c r="J148" s="34"/>
      <c r="K148" s="33"/>
      <c r="L148" s="33"/>
      <c r="M148" s="34"/>
      <c r="N148" s="34"/>
      <c r="O148" s="35"/>
      <c r="P148" s="35"/>
      <c r="AE148" s="33"/>
      <c r="AF148" s="33"/>
      <c r="AG148" s="34"/>
      <c r="AH148" s="34"/>
      <c r="AI148" s="34"/>
      <c r="AJ148" s="34"/>
    </row>
    <row r="149" spans="5:36" x14ac:dyDescent="0.25">
      <c r="E149" s="35"/>
      <c r="F149" s="35"/>
      <c r="G149" s="33"/>
      <c r="H149" s="34"/>
      <c r="I149" s="34"/>
      <c r="J149" s="34"/>
      <c r="K149" s="33"/>
      <c r="L149" s="33"/>
      <c r="M149" s="34"/>
      <c r="N149" s="34"/>
      <c r="O149" s="35"/>
      <c r="P149" s="35"/>
      <c r="AE149" s="33"/>
      <c r="AF149" s="33"/>
      <c r="AG149" s="34"/>
      <c r="AH149" s="34"/>
      <c r="AI149" s="34"/>
      <c r="AJ149" s="34"/>
    </row>
    <row r="150" spans="5:36" x14ac:dyDescent="0.25">
      <c r="E150" s="35"/>
      <c r="F150" s="35"/>
      <c r="G150" s="33"/>
      <c r="H150" s="34"/>
      <c r="I150" s="34"/>
      <c r="J150" s="34"/>
      <c r="K150" s="33"/>
      <c r="L150" s="33"/>
      <c r="M150" s="34"/>
      <c r="N150" s="34"/>
      <c r="O150" s="35"/>
      <c r="P150" s="35"/>
      <c r="AE150" s="33"/>
      <c r="AF150" s="33"/>
      <c r="AG150" s="34"/>
      <c r="AH150" s="34"/>
      <c r="AI150" s="34"/>
      <c r="AJ150" s="34"/>
    </row>
    <row r="151" spans="5:36" x14ac:dyDescent="0.25">
      <c r="E151" s="35"/>
      <c r="F151" s="35"/>
      <c r="G151" s="33"/>
      <c r="H151" s="34"/>
      <c r="I151" s="34"/>
      <c r="J151" s="34"/>
      <c r="K151" s="33"/>
      <c r="L151" s="33"/>
      <c r="M151" s="34"/>
      <c r="N151" s="34"/>
      <c r="O151" s="35"/>
      <c r="P151" s="35"/>
      <c r="AE151" s="33"/>
      <c r="AF151" s="33"/>
      <c r="AG151" s="34"/>
      <c r="AH151" s="34"/>
      <c r="AI151" s="34"/>
      <c r="AJ151" s="34"/>
    </row>
    <row r="152" spans="5:36" x14ac:dyDescent="0.25">
      <c r="E152" s="35"/>
      <c r="F152" s="35"/>
      <c r="G152" s="33"/>
      <c r="H152" s="34"/>
      <c r="I152" s="34"/>
      <c r="J152" s="34"/>
      <c r="K152" s="33"/>
      <c r="L152" s="33"/>
      <c r="M152" s="34"/>
      <c r="N152" s="34"/>
      <c r="O152" s="35"/>
      <c r="P152" s="35"/>
      <c r="AE152" s="33"/>
      <c r="AF152" s="33"/>
      <c r="AG152" s="34"/>
      <c r="AH152" s="34"/>
      <c r="AI152" s="34"/>
      <c r="AJ152" s="34"/>
    </row>
    <row r="153" spans="5:36" x14ac:dyDescent="0.25">
      <c r="E153" s="35"/>
      <c r="F153" s="35"/>
      <c r="G153" s="33"/>
      <c r="H153" s="34"/>
      <c r="I153" s="34"/>
      <c r="J153" s="34"/>
      <c r="K153" s="33"/>
      <c r="L153" s="33"/>
      <c r="M153" s="34"/>
      <c r="N153" s="34"/>
      <c r="O153" s="35"/>
      <c r="P153" s="35"/>
      <c r="AE153" s="33"/>
      <c r="AF153" s="33"/>
      <c r="AG153" s="34"/>
      <c r="AH153" s="34"/>
      <c r="AI153" s="34"/>
      <c r="AJ153" s="34"/>
    </row>
    <row r="154" spans="5:36" x14ac:dyDescent="0.25">
      <c r="E154" s="35"/>
      <c r="F154" s="35"/>
      <c r="G154" s="33"/>
      <c r="H154" s="34"/>
      <c r="I154" s="34"/>
      <c r="J154" s="34"/>
      <c r="K154" s="33"/>
      <c r="L154" s="33"/>
      <c r="M154" s="34"/>
      <c r="N154" s="34"/>
      <c r="O154" s="35"/>
      <c r="P154" s="35"/>
      <c r="AE154" s="33"/>
      <c r="AF154" s="33"/>
      <c r="AG154" s="34"/>
      <c r="AH154" s="34"/>
      <c r="AI154" s="34"/>
      <c r="AJ154" s="34"/>
    </row>
    <row r="155" spans="5:36" x14ac:dyDescent="0.25">
      <c r="E155" s="35"/>
      <c r="F155" s="35"/>
      <c r="G155" s="33"/>
      <c r="H155" s="34"/>
      <c r="I155" s="34"/>
      <c r="J155" s="34"/>
      <c r="K155" s="33"/>
      <c r="L155" s="33"/>
      <c r="M155" s="34"/>
      <c r="N155" s="34"/>
      <c r="O155" s="35"/>
      <c r="P155" s="35"/>
      <c r="AE155" s="33"/>
      <c r="AF155" s="33"/>
      <c r="AG155" s="34"/>
      <c r="AH155" s="34"/>
      <c r="AI155" s="34"/>
      <c r="AJ155" s="34"/>
    </row>
    <row r="156" spans="5:36" x14ac:dyDescent="0.25">
      <c r="E156" s="35"/>
      <c r="F156" s="35"/>
      <c r="G156" s="33"/>
      <c r="H156" s="34"/>
      <c r="I156" s="34"/>
      <c r="J156" s="34"/>
      <c r="K156" s="33"/>
      <c r="L156" s="33"/>
      <c r="M156" s="34"/>
      <c r="N156" s="34"/>
      <c r="O156" s="35"/>
      <c r="P156" s="35"/>
      <c r="AE156" s="33"/>
      <c r="AF156" s="33"/>
      <c r="AG156" s="34"/>
      <c r="AH156" s="34"/>
      <c r="AI156" s="34"/>
      <c r="AJ156" s="34"/>
    </row>
    <row r="157" spans="5:36" x14ac:dyDescent="0.25">
      <c r="E157" s="35"/>
      <c r="F157" s="35"/>
      <c r="G157" s="33"/>
      <c r="H157" s="34"/>
      <c r="I157" s="34"/>
      <c r="J157" s="34"/>
      <c r="K157" s="33"/>
      <c r="L157" s="33"/>
      <c r="M157" s="34"/>
      <c r="N157" s="34"/>
      <c r="O157" s="35"/>
      <c r="P157" s="35"/>
      <c r="AE157" s="33"/>
      <c r="AF157" s="33"/>
      <c r="AG157" s="34"/>
      <c r="AH157" s="34"/>
      <c r="AI157" s="34"/>
      <c r="AJ157" s="34"/>
    </row>
    <row r="158" spans="5:36" x14ac:dyDescent="0.25">
      <c r="E158" s="35"/>
      <c r="F158" s="35"/>
      <c r="G158" s="33"/>
      <c r="H158" s="34"/>
      <c r="I158" s="34"/>
      <c r="J158" s="34"/>
      <c r="K158" s="33"/>
      <c r="L158" s="33"/>
      <c r="M158" s="34"/>
      <c r="N158" s="34"/>
      <c r="O158" s="35"/>
      <c r="P158" s="35"/>
      <c r="AE158" s="33"/>
      <c r="AF158" s="33"/>
      <c r="AG158" s="34"/>
      <c r="AH158" s="34"/>
      <c r="AI158" s="34"/>
      <c r="AJ158" s="34"/>
    </row>
    <row r="159" spans="5:36" x14ac:dyDescent="0.25">
      <c r="E159" s="35"/>
      <c r="F159" s="35"/>
      <c r="G159" s="33"/>
      <c r="H159" s="34"/>
      <c r="I159" s="34"/>
      <c r="J159" s="34"/>
      <c r="K159" s="33"/>
      <c r="L159" s="33"/>
      <c r="M159" s="34"/>
      <c r="N159" s="34"/>
      <c r="O159" s="35"/>
      <c r="P159" s="35"/>
      <c r="AE159" s="33"/>
      <c r="AF159" s="33"/>
      <c r="AG159" s="34"/>
      <c r="AH159" s="34"/>
      <c r="AI159" s="34"/>
      <c r="AJ159" s="34"/>
    </row>
    <row r="160" spans="5:36" x14ac:dyDescent="0.25">
      <c r="E160" s="35"/>
      <c r="F160" s="35"/>
      <c r="G160" s="33"/>
      <c r="H160" s="34"/>
      <c r="I160" s="34"/>
      <c r="J160" s="34"/>
      <c r="K160" s="33"/>
      <c r="L160" s="33"/>
      <c r="M160" s="34"/>
      <c r="N160" s="34"/>
      <c r="O160" s="35"/>
      <c r="P160" s="35"/>
      <c r="AE160" s="33"/>
      <c r="AF160" s="33"/>
      <c r="AG160" s="34"/>
      <c r="AH160" s="34"/>
      <c r="AI160" s="34"/>
      <c r="AJ160" s="34"/>
    </row>
    <row r="161" spans="5:36" x14ac:dyDescent="0.25">
      <c r="E161" s="35"/>
      <c r="F161" s="35"/>
      <c r="G161" s="33"/>
      <c r="H161" s="34"/>
      <c r="I161" s="34"/>
      <c r="J161" s="34"/>
      <c r="K161" s="33"/>
      <c r="L161" s="33"/>
      <c r="M161" s="34"/>
      <c r="N161" s="34"/>
      <c r="O161" s="35"/>
      <c r="P161" s="35"/>
      <c r="AE161" s="33"/>
      <c r="AF161" s="33"/>
      <c r="AG161" s="34"/>
      <c r="AH161" s="34"/>
      <c r="AI161" s="34"/>
      <c r="AJ161" s="34"/>
    </row>
    <row r="162" spans="5:36" x14ac:dyDescent="0.25">
      <c r="E162" s="35"/>
      <c r="F162" s="35"/>
      <c r="G162" s="33"/>
      <c r="H162" s="34"/>
      <c r="I162" s="34"/>
      <c r="J162" s="34"/>
      <c r="K162" s="33"/>
      <c r="L162" s="33"/>
      <c r="M162" s="34"/>
      <c r="N162" s="34"/>
      <c r="O162" s="35"/>
      <c r="P162" s="35"/>
      <c r="AE162" s="33"/>
      <c r="AF162" s="33"/>
      <c r="AG162" s="34"/>
      <c r="AH162" s="34"/>
      <c r="AI162" s="34"/>
      <c r="AJ162" s="34"/>
    </row>
    <row r="163" spans="5:36" x14ac:dyDescent="0.25">
      <c r="E163" s="35"/>
      <c r="F163" s="35"/>
      <c r="G163" s="33"/>
      <c r="H163" s="34"/>
      <c r="I163" s="34"/>
      <c r="J163" s="34"/>
      <c r="K163" s="33"/>
      <c r="L163" s="33"/>
      <c r="M163" s="34"/>
      <c r="N163" s="34"/>
      <c r="O163" s="35"/>
      <c r="P163" s="35"/>
      <c r="AE163" s="33"/>
      <c r="AF163" s="33"/>
      <c r="AG163" s="34"/>
      <c r="AH163" s="34"/>
      <c r="AI163" s="34"/>
      <c r="AJ163" s="34"/>
    </row>
    <row r="164" spans="5:36" x14ac:dyDescent="0.25">
      <c r="E164" s="35"/>
      <c r="F164" s="35"/>
      <c r="G164" s="33"/>
      <c r="H164" s="34"/>
      <c r="I164" s="34"/>
      <c r="J164" s="34"/>
      <c r="K164" s="33"/>
      <c r="L164" s="33"/>
      <c r="M164" s="34"/>
      <c r="N164" s="34"/>
      <c r="O164" s="35"/>
      <c r="P164" s="35"/>
      <c r="AE164" s="33"/>
      <c r="AF164" s="33"/>
      <c r="AG164" s="34"/>
      <c r="AH164" s="34"/>
      <c r="AI164" s="34"/>
      <c r="AJ164" s="34"/>
    </row>
    <row r="165" spans="5:36" x14ac:dyDescent="0.25">
      <c r="E165" s="35"/>
      <c r="F165" s="35"/>
      <c r="G165" s="33"/>
      <c r="H165" s="34"/>
      <c r="I165" s="34"/>
      <c r="J165" s="34"/>
      <c r="K165" s="33"/>
      <c r="L165" s="33"/>
      <c r="M165" s="34"/>
      <c r="N165" s="34"/>
      <c r="O165" s="35"/>
      <c r="P165" s="35"/>
      <c r="AE165" s="33"/>
      <c r="AF165" s="33"/>
      <c r="AG165" s="34"/>
      <c r="AH165" s="34"/>
      <c r="AI165" s="34"/>
      <c r="AJ165" s="34"/>
    </row>
    <row r="166" spans="5:36" x14ac:dyDescent="0.25">
      <c r="E166" s="35"/>
      <c r="F166" s="35"/>
      <c r="G166" s="33"/>
      <c r="H166" s="34"/>
      <c r="I166" s="34"/>
      <c r="J166" s="34"/>
      <c r="K166" s="33"/>
      <c r="L166" s="33"/>
      <c r="M166" s="34"/>
      <c r="N166" s="34"/>
      <c r="O166" s="35"/>
      <c r="P166" s="35"/>
      <c r="AE166" s="33"/>
      <c r="AF166" s="33"/>
      <c r="AG166" s="34"/>
      <c r="AH166" s="34"/>
      <c r="AI166" s="34"/>
      <c r="AJ166" s="34"/>
    </row>
    <row r="167" spans="5:36" x14ac:dyDescent="0.25"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</row>
    <row r="168" spans="5:36" x14ac:dyDescent="0.25"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</row>
    <row r="169" spans="5:36" x14ac:dyDescent="0.25"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</row>
    <row r="170" spans="5:36" x14ac:dyDescent="0.25"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</row>
    <row r="171" spans="5:36" x14ac:dyDescent="0.25"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</row>
    <row r="172" spans="5:36" x14ac:dyDescent="0.25"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</row>
    <row r="173" spans="5:36" x14ac:dyDescent="0.25"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</row>
    <row r="174" spans="5:36" x14ac:dyDescent="0.25"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</row>
    <row r="175" spans="5:36" x14ac:dyDescent="0.25"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</row>
    <row r="176" spans="5:36" x14ac:dyDescent="0.25"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</row>
    <row r="177" spans="5:16" x14ac:dyDescent="0.25"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</row>
    <row r="178" spans="5:16" x14ac:dyDescent="0.25"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</row>
    <row r="179" spans="5:16" x14ac:dyDescent="0.25"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</row>
    <row r="180" spans="5:16" x14ac:dyDescent="0.25"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</row>
    <row r="181" spans="5:16" x14ac:dyDescent="0.25"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</row>
  </sheetData>
  <sheetProtection password="B62D" sheet="1" objects="1" scenarios="1" selectLockedCells="1"/>
  <customSheetViews>
    <customSheetView guid="{84323158-D89D-41EC-B44C-042B5D648DB1}" scale="75">
      <selection activeCell="L23" sqref="L23"/>
      <pageMargins left="0.7" right="0.7" top="0.78740157499999996" bottom="0.78740157499999996" header="0.3" footer="0.3"/>
      <pageSetup paperSize="9" orientation="portrait" r:id="rId1"/>
    </customSheetView>
  </customSheetView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7"/>
  <sheetViews>
    <sheetView zoomScale="75" zoomScaleNormal="75" workbookViewId="0">
      <selection activeCell="C28" sqref="C28"/>
    </sheetView>
  </sheetViews>
  <sheetFormatPr baseColWidth="10" defaultRowHeight="15" x14ac:dyDescent="0.25"/>
  <cols>
    <col min="1" max="1" width="6.140625" customWidth="1"/>
    <col min="2" max="2" width="17.140625" customWidth="1"/>
    <col min="3" max="3" width="19.7109375" bestFit="1" customWidth="1"/>
    <col min="4" max="4" width="17.28515625" customWidth="1"/>
    <col min="5" max="5" width="15" customWidth="1"/>
    <col min="6" max="6" width="7.140625" customWidth="1"/>
    <col min="7" max="7" width="9.85546875" customWidth="1"/>
    <col min="8" max="8" width="7.5703125" customWidth="1"/>
    <col min="9" max="9" width="7.140625" customWidth="1"/>
    <col min="12" max="12" width="6.140625" customWidth="1"/>
    <col min="13" max="13" width="17.28515625" customWidth="1"/>
    <col min="14" max="14" width="8.28515625" customWidth="1"/>
    <col min="15" max="15" width="7.42578125" customWidth="1"/>
    <col min="16" max="16" width="6.5703125" customWidth="1"/>
    <col min="17" max="17" width="7.7109375" customWidth="1"/>
    <col min="18" max="18" width="11.85546875" customWidth="1"/>
    <col min="30" max="30" width="5" customWidth="1"/>
    <col min="32" max="32" width="5.5703125" customWidth="1"/>
    <col min="33" max="33" width="4.7109375" customWidth="1"/>
  </cols>
  <sheetData>
    <row r="1" spans="1:34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3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</row>
    <row r="3" spans="1:34" x14ac:dyDescent="0.25">
      <c r="A3" s="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3"/>
      <c r="AH3" s="4"/>
    </row>
    <row r="4" spans="1:34" ht="46.5" x14ac:dyDescent="0.7">
      <c r="A4" s="2"/>
      <c r="B4" s="56" t="s">
        <v>16</v>
      </c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H4" s="4"/>
    </row>
    <row r="5" spans="1:34" ht="18.75" x14ac:dyDescent="0.3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7" t="s">
        <v>95</v>
      </c>
      <c r="AB5" s="4"/>
      <c r="AC5" s="4"/>
      <c r="AD5" s="3"/>
      <c r="AH5" s="4"/>
    </row>
    <row r="6" spans="1:34" ht="8.25" customHeight="1" x14ac:dyDescent="0.25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3"/>
      <c r="AH6" s="4"/>
    </row>
    <row r="7" spans="1:34" ht="21.75" customHeight="1" x14ac:dyDescent="0.3">
      <c r="A7" s="2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3"/>
      <c r="AH7" s="117"/>
    </row>
    <row r="8" spans="1:34" ht="18" customHeight="1" x14ac:dyDescent="0.3">
      <c r="A8" s="2"/>
      <c r="B8" s="7" t="s">
        <v>30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3"/>
      <c r="AH8" s="117"/>
    </row>
    <row r="9" spans="1:34" ht="18" customHeight="1" x14ac:dyDescent="0.3">
      <c r="A9" s="2"/>
      <c r="B9" s="7" t="s">
        <v>26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4"/>
      <c r="P9" s="4"/>
      <c r="Q9" s="4"/>
      <c r="R9" s="4"/>
      <c r="S9" s="4"/>
      <c r="T9" s="4"/>
      <c r="W9" s="4"/>
      <c r="X9" s="4"/>
      <c r="Y9" s="4"/>
      <c r="Z9" s="4"/>
      <c r="AA9" s="4"/>
      <c r="AB9" s="4"/>
      <c r="AC9" s="4"/>
      <c r="AD9" s="3"/>
      <c r="AH9" s="117"/>
    </row>
    <row r="10" spans="1:34" ht="18" customHeight="1" x14ac:dyDescent="0.3">
      <c r="A10" s="2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4"/>
      <c r="P10" s="4"/>
      <c r="Q10" s="4"/>
      <c r="R10" s="4"/>
      <c r="S10" s="4"/>
      <c r="T10" s="4"/>
      <c r="W10" s="4"/>
      <c r="X10" s="4"/>
      <c r="Y10" s="4"/>
      <c r="Z10" s="4"/>
      <c r="AA10" s="4"/>
      <c r="AB10" s="4"/>
      <c r="AC10" s="4"/>
      <c r="AD10" s="3"/>
      <c r="AH10" s="117"/>
    </row>
    <row r="11" spans="1:34" ht="18" customHeight="1" x14ac:dyDescent="0.3">
      <c r="A11" s="2"/>
      <c r="B11" s="7" t="s">
        <v>45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3"/>
      <c r="AH11" s="117"/>
    </row>
    <row r="12" spans="1:34" ht="18" customHeight="1" x14ac:dyDescent="0.3">
      <c r="A12" s="2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3"/>
      <c r="AH12" s="117"/>
    </row>
    <row r="13" spans="1:34" ht="18" customHeight="1" x14ac:dyDescent="0.3">
      <c r="A13" s="2"/>
      <c r="B13" s="7" t="s">
        <v>29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3"/>
      <c r="AH13" s="117"/>
    </row>
    <row r="14" spans="1:34" ht="18" customHeight="1" x14ac:dyDescent="0.3">
      <c r="A14" s="2"/>
      <c r="B14" s="8" t="s">
        <v>46</v>
      </c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4"/>
      <c r="P14" s="4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10"/>
      <c r="AD14" s="6"/>
      <c r="AH14" s="117"/>
    </row>
    <row r="15" spans="1:34" ht="18" customHeight="1" x14ac:dyDescent="0.3">
      <c r="A15" s="2"/>
      <c r="B15" s="8"/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4"/>
      <c r="P15" s="4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0"/>
      <c r="AD15" s="6"/>
      <c r="AH15" s="117"/>
    </row>
    <row r="16" spans="1:34" ht="18" customHeight="1" x14ac:dyDescent="0.3">
      <c r="A16" s="2"/>
      <c r="B16" s="8" t="s">
        <v>47</v>
      </c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4"/>
      <c r="P16" s="4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10"/>
      <c r="AD16" s="6"/>
      <c r="AH16" s="117"/>
    </row>
    <row r="17" spans="1:34" ht="18" customHeight="1" x14ac:dyDescent="0.3">
      <c r="A17" s="2"/>
      <c r="B17" s="8"/>
      <c r="C17" s="8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4"/>
      <c r="P17" s="4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10"/>
      <c r="AD17" s="6"/>
      <c r="AH17" s="117"/>
    </row>
    <row r="18" spans="1:34" ht="18" customHeight="1" x14ac:dyDescent="0.3">
      <c r="A18" s="2"/>
      <c r="B18" s="8"/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4"/>
      <c r="P18" s="4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10"/>
      <c r="AD18" s="6"/>
      <c r="AH18" s="117"/>
    </row>
    <row r="19" spans="1:34" ht="18" customHeight="1" x14ac:dyDescent="0.3">
      <c r="A19" s="2"/>
      <c r="B19" s="11"/>
      <c r="C19" s="11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10"/>
      <c r="AD19" s="6"/>
      <c r="AH19" s="117"/>
    </row>
    <row r="20" spans="1:34" ht="18" customHeight="1" x14ac:dyDescent="0.3">
      <c r="A20" s="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3"/>
      <c r="AH20" s="117"/>
    </row>
    <row r="21" spans="1:34" ht="18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3"/>
      <c r="AH21" s="117"/>
    </row>
    <row r="22" spans="1:34" ht="18" customHeight="1" x14ac:dyDescent="0.35">
      <c r="A22" s="2"/>
      <c r="B22" s="13" t="s">
        <v>4</v>
      </c>
      <c r="C22" s="13"/>
      <c r="D22" s="115" t="s">
        <v>1</v>
      </c>
      <c r="E22" s="150">
        <f>IF(OR(Tabelle1!D9=90,Tabelle1!D9=-90),Tabelle1!D9-0.0001,Tabelle1!D9)</f>
        <v>52</v>
      </c>
      <c r="F22" s="7" t="s">
        <v>8</v>
      </c>
      <c r="G22" s="151">
        <f>Tabelle1!F9</f>
        <v>0</v>
      </c>
      <c r="H22" s="47"/>
      <c r="I22" s="144" t="s">
        <v>67</v>
      </c>
      <c r="J22" s="44">
        <f>IF(E22&lt;0,E22-G22/60,E22+G22/60)</f>
        <v>52</v>
      </c>
      <c r="K22" s="72" t="s">
        <v>8</v>
      </c>
      <c r="L22" s="72"/>
      <c r="M22" s="13" t="s">
        <v>9</v>
      </c>
      <c r="N22" s="49">
        <f>DEGREES(ASIN(N24))</f>
        <v>-35.59135157085268</v>
      </c>
      <c r="O22" s="39" t="s">
        <v>68</v>
      </c>
      <c r="P22" s="39" t="s">
        <v>67</v>
      </c>
      <c r="Q22" s="4"/>
      <c r="R22" s="4"/>
      <c r="S22" s="4"/>
      <c r="T22" s="4"/>
      <c r="U22" s="4"/>
      <c r="W22" s="4" t="s">
        <v>71</v>
      </c>
      <c r="X22" s="4"/>
      <c r="Y22" s="4"/>
      <c r="Z22" s="4"/>
      <c r="AA22" s="4"/>
      <c r="AB22" s="4"/>
      <c r="AC22" s="4"/>
      <c r="AD22" s="3"/>
      <c r="AH22" s="117"/>
    </row>
    <row r="23" spans="1:34" ht="18" customHeight="1" x14ac:dyDescent="0.3">
      <c r="A23" s="2"/>
      <c r="B23" s="13"/>
      <c r="C23" s="13"/>
      <c r="D23" s="14"/>
      <c r="E23" s="15"/>
      <c r="F23" s="4"/>
      <c r="G23" s="4"/>
      <c r="H23" s="4"/>
      <c r="I23" s="4"/>
      <c r="J23" s="4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W23" s="4" t="s">
        <v>36</v>
      </c>
      <c r="X23" s="4"/>
      <c r="Y23" s="4"/>
      <c r="Z23" s="4"/>
      <c r="AA23" s="4"/>
      <c r="AB23" s="4"/>
      <c r="AC23" s="4"/>
      <c r="AD23" s="3"/>
      <c r="AH23" s="117"/>
    </row>
    <row r="24" spans="1:34" ht="18" customHeight="1" x14ac:dyDescent="0.35">
      <c r="A24" s="2"/>
      <c r="B24" s="13" t="s">
        <v>5</v>
      </c>
      <c r="C24" s="13"/>
      <c r="D24" s="115" t="s">
        <v>12</v>
      </c>
      <c r="E24" s="152">
        <f>Tabelle1!D11</f>
        <v>9</v>
      </c>
      <c r="F24" s="7" t="s">
        <v>8</v>
      </c>
      <c r="G24" s="153">
        <f>Tabelle1!F11</f>
        <v>0</v>
      </c>
      <c r="H24" s="4"/>
      <c r="I24" s="144" t="s">
        <v>67</v>
      </c>
      <c r="J24" s="44">
        <f>IF(E24&lt;0,E24-G24/60,E24+G24/60)</f>
        <v>9</v>
      </c>
      <c r="K24" s="72" t="s">
        <v>8</v>
      </c>
      <c r="L24" s="72"/>
      <c r="M24" s="4" t="s">
        <v>14</v>
      </c>
      <c r="N24" s="4">
        <f>COS(RADIANS(N31))*COS(RADIANS(E38))*COS(RADIANS(J22))+SIN(RADIANS(N31))*SIN(RADIANS(J22))</f>
        <v>-0.58200023119966526</v>
      </c>
      <c r="O24" s="4"/>
      <c r="P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3"/>
      <c r="AH24" s="117"/>
    </row>
    <row r="25" spans="1:34" ht="18" customHeight="1" x14ac:dyDescent="0.3">
      <c r="A25" s="2"/>
      <c r="B25" s="13"/>
      <c r="C25" s="13"/>
      <c r="D25" s="14"/>
      <c r="E25" s="15"/>
      <c r="F25" s="7"/>
      <c r="G25" s="4"/>
      <c r="H25" s="4"/>
      <c r="I25" s="4"/>
      <c r="J25" s="4"/>
      <c r="K25" s="4"/>
      <c r="L25" s="4"/>
      <c r="M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3"/>
      <c r="AH25" s="117"/>
    </row>
    <row r="26" spans="1:34" ht="18" customHeight="1" x14ac:dyDescent="0.35">
      <c r="A26" s="2"/>
      <c r="B26" s="13" t="s">
        <v>11</v>
      </c>
      <c r="C26" s="13"/>
      <c r="D26" s="4"/>
      <c r="E26" s="154">
        <f>Tabelle1!D13</f>
        <v>43170</v>
      </c>
      <c r="F26" s="7"/>
      <c r="G26" s="4"/>
      <c r="H26" s="82"/>
      <c r="I26" s="82"/>
      <c r="J26" s="82"/>
      <c r="K26" s="4"/>
      <c r="L26" s="4"/>
      <c r="M26" s="13" t="s">
        <v>65</v>
      </c>
      <c r="N26" s="79">
        <f>IF(E38&gt;0,360-S28,S28)</f>
        <v>321.7812122821735</v>
      </c>
      <c r="O26" s="39" t="s">
        <v>8</v>
      </c>
      <c r="P26" s="39" t="s">
        <v>67</v>
      </c>
      <c r="Q26" s="4"/>
      <c r="R26" s="4"/>
      <c r="S26" s="4"/>
      <c r="T26" s="4"/>
      <c r="U26" s="4"/>
      <c r="W26" s="4" t="s">
        <v>72</v>
      </c>
      <c r="X26" s="4"/>
      <c r="Y26" s="4"/>
      <c r="Z26" s="4"/>
      <c r="AA26" s="4"/>
      <c r="AB26" s="4"/>
      <c r="AC26" s="4"/>
      <c r="AD26" s="3"/>
      <c r="AH26" s="117"/>
    </row>
    <row r="27" spans="1:34" ht="18" customHeight="1" x14ac:dyDescent="0.5">
      <c r="A27" s="2"/>
      <c r="B27" s="4"/>
      <c r="C27" s="4"/>
      <c r="D27" s="4"/>
      <c r="E27" s="4"/>
      <c r="F27" s="7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5"/>
      <c r="T27" s="4"/>
      <c r="U27" s="4"/>
      <c r="W27" s="4" t="s">
        <v>69</v>
      </c>
      <c r="X27" s="4"/>
      <c r="Y27" s="4"/>
      <c r="Z27" s="4"/>
      <c r="AA27" s="4"/>
      <c r="AB27" s="4"/>
      <c r="AC27" s="4"/>
      <c r="AD27" s="3"/>
      <c r="AH27" s="117"/>
    </row>
    <row r="28" spans="1:34" ht="18" customHeight="1" x14ac:dyDescent="0.3">
      <c r="A28" s="2"/>
      <c r="B28" s="45" t="s">
        <v>15</v>
      </c>
      <c r="C28" s="189">
        <v>43101</v>
      </c>
      <c r="D28" s="45" t="s">
        <v>10</v>
      </c>
      <c r="E28" s="130">
        <f>E26-C28+J30/24</f>
        <v>69.939583333333331</v>
      </c>
      <c r="F28" s="46"/>
      <c r="G28" s="45"/>
      <c r="H28" s="45"/>
      <c r="I28" s="45"/>
      <c r="J28" s="45"/>
      <c r="K28" s="4"/>
      <c r="L28" s="4"/>
      <c r="M28" s="48" t="s">
        <v>2</v>
      </c>
      <c r="N28" s="121">
        <f>DEGREES(ATAN(N29))</f>
        <v>-38.218787717826501</v>
      </c>
      <c r="O28" s="45"/>
      <c r="P28" s="45"/>
      <c r="Q28" t="s">
        <v>60</v>
      </c>
      <c r="S28" s="120">
        <f>DEGREES(ACOS((SIN(RADIANS($N$31))-SIN(RADIANS($J$22))*SIN(RADIANS($N$22)))/(COS(RADIANS($J$22))*COS(RADIANS($N$22)))))</f>
        <v>38.218787717826508</v>
      </c>
      <c r="T28" s="45"/>
      <c r="U28" s="4"/>
      <c r="W28" s="45"/>
      <c r="X28" s="45"/>
      <c r="Y28" s="45"/>
      <c r="Z28" s="45"/>
      <c r="AA28" s="45"/>
      <c r="AB28" s="45"/>
      <c r="AC28" s="45"/>
      <c r="AD28" s="3"/>
      <c r="AH28" s="117"/>
    </row>
    <row r="29" spans="1:34" ht="18" customHeight="1" x14ac:dyDescent="0.3">
      <c r="A29" s="2"/>
      <c r="B29" s="13"/>
      <c r="C29" s="13"/>
      <c r="D29" s="14"/>
      <c r="E29" s="84"/>
      <c r="F29" s="7"/>
      <c r="G29" s="4"/>
      <c r="H29" s="4"/>
      <c r="I29" s="4"/>
      <c r="J29" s="4"/>
      <c r="K29" s="4"/>
      <c r="L29" s="4"/>
      <c r="M29" s="4" t="s">
        <v>13</v>
      </c>
      <c r="N29" s="122">
        <f>SIN(RADIANS(E38))/(COS(RADIANS(E38))*SIN(RADIANS(E22))-TAN(RADIANS(N31))*COS(RADIANS(E22)))</f>
        <v>-0.78745350403256875</v>
      </c>
      <c r="O29" s="4"/>
      <c r="P29" s="4"/>
      <c r="Q29" s="4"/>
      <c r="R29" s="4"/>
      <c r="S29" s="4"/>
      <c r="T29" s="4"/>
      <c r="U29" s="4"/>
      <c r="W29" s="83" t="s">
        <v>73</v>
      </c>
      <c r="X29" s="4"/>
      <c r="Y29" s="4"/>
      <c r="Z29" s="4"/>
      <c r="AA29" s="4"/>
      <c r="AB29" s="4"/>
      <c r="AC29" s="4"/>
      <c r="AD29" s="3"/>
      <c r="AH29" s="117"/>
    </row>
    <row r="30" spans="1:34" ht="18" customHeight="1" x14ac:dyDescent="0.3">
      <c r="A30" s="2"/>
      <c r="B30" s="13" t="s">
        <v>25</v>
      </c>
      <c r="C30" s="13"/>
      <c r="D30" s="4"/>
      <c r="E30" s="152">
        <f>Tabelle1!D17</f>
        <v>22</v>
      </c>
      <c r="F30" s="7" t="s">
        <v>7</v>
      </c>
      <c r="G30" s="151">
        <f>Tabelle1!F17</f>
        <v>33</v>
      </c>
      <c r="H30" s="63"/>
      <c r="I30" s="144" t="s">
        <v>67</v>
      </c>
      <c r="J30" s="44">
        <f>E30+G30/60</f>
        <v>22.55</v>
      </c>
      <c r="K30" s="7" t="s">
        <v>35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3"/>
      <c r="AH30" s="117"/>
    </row>
    <row r="31" spans="1:34" ht="18" customHeight="1" x14ac:dyDescent="0.35">
      <c r="A31" s="2"/>
      <c r="B31" s="4"/>
      <c r="C31" s="4"/>
      <c r="D31" s="4"/>
      <c r="E31" s="4"/>
      <c r="F31" s="4"/>
      <c r="G31" s="4"/>
      <c r="H31" s="4"/>
      <c r="I31" s="4"/>
      <c r="J31" s="125">
        <f>J30/24</f>
        <v>0.93958333333333333</v>
      </c>
      <c r="K31" s="4"/>
      <c r="L31" s="4"/>
      <c r="M31" s="13" t="s">
        <v>27</v>
      </c>
      <c r="N31" s="50">
        <f>DEGREES(ASIN(SIN(RADIANS(-23.44))*COS(RADIANS(360/365.24*(E28+10)+360/PI()*0.0167*SIN(RADIANS(360/365.24*(E28-2)))))))</f>
        <v>-3.7432511142393099</v>
      </c>
      <c r="O31" s="39" t="s">
        <v>8</v>
      </c>
      <c r="P31" s="39" t="s">
        <v>67</v>
      </c>
      <c r="Q31" s="4"/>
      <c r="R31" s="4"/>
      <c r="S31" s="4"/>
      <c r="T31" s="4"/>
      <c r="U31" s="4"/>
      <c r="W31" s="4" t="s">
        <v>74</v>
      </c>
      <c r="X31" s="4"/>
      <c r="Y31" s="4"/>
      <c r="Z31" s="4"/>
      <c r="AA31" s="4"/>
      <c r="AB31" s="4"/>
      <c r="AC31" s="4"/>
      <c r="AD31" s="3"/>
      <c r="AH31" s="117"/>
    </row>
    <row r="32" spans="1:34" ht="18" customHeight="1" x14ac:dyDescent="0.3">
      <c r="A32" s="2"/>
      <c r="B32" s="43" t="s">
        <v>31</v>
      </c>
      <c r="C32" s="43"/>
      <c r="D32" s="116" t="s">
        <v>58</v>
      </c>
      <c r="E32" s="75">
        <f>IF(J32&lt;0,24+J32/24,J32/24)</f>
        <v>0.92291666666666672</v>
      </c>
      <c r="F32" s="7" t="s">
        <v>7</v>
      </c>
      <c r="G32" s="58"/>
      <c r="H32" s="63"/>
      <c r="I32" s="63"/>
      <c r="J32" s="77">
        <f>J30-(15-J24)/15</f>
        <v>22.150000000000002</v>
      </c>
      <c r="K32" s="85" t="s">
        <v>35</v>
      </c>
      <c r="L32" s="85"/>
      <c r="M32" s="4"/>
      <c r="N32" s="4"/>
      <c r="O32" s="4"/>
      <c r="P32" s="4"/>
      <c r="Q32" s="4"/>
      <c r="R32" s="4"/>
      <c r="S32" s="4"/>
      <c r="T32" s="4"/>
      <c r="U32" s="4"/>
      <c r="V32" s="4"/>
      <c r="W32" s="4" t="s">
        <v>18</v>
      </c>
      <c r="X32" s="4"/>
      <c r="Y32" s="4"/>
      <c r="Z32" s="4"/>
      <c r="AA32" s="4"/>
      <c r="AB32" s="4"/>
      <c r="AC32" s="4"/>
      <c r="AD32" s="3"/>
      <c r="AH32" s="117"/>
    </row>
    <row r="33" spans="1:35" ht="18" customHeight="1" x14ac:dyDescent="0.3">
      <c r="A33" s="2"/>
      <c r="B33" s="43"/>
      <c r="C33" s="43"/>
      <c r="D33" s="76"/>
      <c r="E33" s="58"/>
      <c r="F33" s="57"/>
      <c r="G33" s="58"/>
      <c r="H33" s="7"/>
      <c r="I33" s="7"/>
      <c r="J33" s="77"/>
      <c r="K33" s="85"/>
      <c r="L33" s="85"/>
      <c r="M33" s="4"/>
      <c r="N33" s="4"/>
      <c r="O33" s="4"/>
      <c r="P33" s="4"/>
      <c r="Q33" s="4"/>
      <c r="R33" s="4"/>
      <c r="S33" s="4"/>
      <c r="T33" s="4"/>
      <c r="U33" s="4"/>
      <c r="W33" s="4" t="s">
        <v>19</v>
      </c>
      <c r="X33" s="4"/>
      <c r="Y33" s="4"/>
      <c r="Z33" s="4"/>
      <c r="AA33" s="4"/>
      <c r="AB33" s="4"/>
      <c r="AC33" s="4"/>
      <c r="AD33" s="3"/>
      <c r="AH33" s="4"/>
    </row>
    <row r="34" spans="1:35" ht="18" customHeight="1" x14ac:dyDescent="0.3">
      <c r="A34" s="2"/>
      <c r="B34" s="43" t="s">
        <v>33</v>
      </c>
      <c r="C34" s="77">
        <f>-0.171*SIN(0.0337 * E28 + 0.465) - 0.1299*SIN(0.01787 * E28 - 0.168)</f>
        <v>-0.1684081896763516</v>
      </c>
      <c r="D34" s="59" t="s">
        <v>34</v>
      </c>
      <c r="E34" s="78">
        <f>C34*60</f>
        <v>-10.104491380581097</v>
      </c>
      <c r="F34" s="7" t="s">
        <v>24</v>
      </c>
      <c r="G34" s="4"/>
      <c r="H34" s="4"/>
      <c r="I34" s="4"/>
      <c r="J34" s="86">
        <f>J32+C34</f>
        <v>21.98159181032365</v>
      </c>
      <c r="K34" s="85" t="s">
        <v>7</v>
      </c>
      <c r="L34" s="85"/>
      <c r="M34" s="13" t="s">
        <v>33</v>
      </c>
      <c r="N34" s="4"/>
      <c r="O34" s="4"/>
      <c r="P34" s="4"/>
      <c r="Q34" s="4"/>
      <c r="R34" s="4"/>
      <c r="S34" s="4"/>
      <c r="T34" s="4"/>
      <c r="U34" s="4"/>
      <c r="W34" s="4" t="s">
        <v>70</v>
      </c>
      <c r="X34" s="4"/>
      <c r="Y34" s="4"/>
      <c r="Z34" s="4"/>
      <c r="AA34" s="4"/>
      <c r="AB34" s="4"/>
      <c r="AC34" s="4"/>
      <c r="AD34" s="3"/>
      <c r="AH34" s="4"/>
    </row>
    <row r="35" spans="1:35" ht="18" customHeight="1" x14ac:dyDescent="0.3">
      <c r="A35" s="2"/>
      <c r="B35" s="43"/>
      <c r="C35" s="43"/>
      <c r="D35" s="76"/>
      <c r="E35" s="58"/>
      <c r="F35" s="57"/>
      <c r="G35" s="58"/>
      <c r="H35" s="7"/>
      <c r="I35" s="7"/>
      <c r="J35" s="87"/>
      <c r="K35" s="85"/>
      <c r="L35" s="85"/>
      <c r="M35" s="4"/>
      <c r="N35" s="4"/>
      <c r="O35" s="4"/>
      <c r="P35" s="4"/>
      <c r="Q35" s="4"/>
      <c r="R35" s="4"/>
      <c r="S35" s="4"/>
      <c r="T35" s="4"/>
      <c r="U35" s="4"/>
      <c r="X35" s="4"/>
      <c r="Y35" s="4"/>
      <c r="Z35" s="4"/>
      <c r="AA35" s="4"/>
      <c r="AB35" s="4"/>
      <c r="AC35" s="4"/>
      <c r="AD35" s="3"/>
    </row>
    <row r="36" spans="1:35" ht="18" customHeight="1" x14ac:dyDescent="0.35">
      <c r="A36" s="2"/>
      <c r="B36" s="43" t="s">
        <v>32</v>
      </c>
      <c r="C36" s="43"/>
      <c r="D36" s="4"/>
      <c r="E36" s="88">
        <f>IF(J34&lt;0,J34/24+24,J34/24)</f>
        <v>0.91589965876348545</v>
      </c>
      <c r="F36" s="57" t="s">
        <v>7</v>
      </c>
      <c r="G36" s="67"/>
      <c r="H36" s="63"/>
      <c r="I36" s="63"/>
      <c r="J36" s="89">
        <f>(J34-12)*15</f>
        <v>149.72387715485473</v>
      </c>
      <c r="K36" s="85"/>
      <c r="L36" s="4"/>
      <c r="M36" s="4"/>
      <c r="N36" s="4"/>
      <c r="O36" s="4"/>
      <c r="P36" s="4"/>
      <c r="Q36" s="39"/>
      <c r="R36" s="4"/>
      <c r="S36" s="4"/>
      <c r="T36" s="4"/>
      <c r="U36" s="4"/>
      <c r="V36" s="4"/>
      <c r="W36" s="4" t="s">
        <v>75</v>
      </c>
      <c r="X36" s="4"/>
      <c r="Y36" s="4"/>
      <c r="Z36" s="4"/>
      <c r="AA36" s="4"/>
      <c r="AB36" s="4"/>
      <c r="AC36" s="4"/>
      <c r="AD36" s="3"/>
      <c r="AH36" s="4"/>
    </row>
    <row r="37" spans="1:35" ht="18" customHeight="1" x14ac:dyDescent="0.3">
      <c r="A37" s="2"/>
      <c r="B37" s="4"/>
      <c r="C37" s="4"/>
      <c r="D37" s="4"/>
      <c r="E37" s="4"/>
      <c r="F37" s="7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X37" s="4"/>
      <c r="Y37" s="4"/>
      <c r="Z37" s="4"/>
      <c r="AA37" s="4"/>
      <c r="AB37" s="4"/>
      <c r="AC37" s="4"/>
      <c r="AD37" s="3"/>
      <c r="AH37" s="4"/>
    </row>
    <row r="38" spans="1:35" ht="18" customHeight="1" x14ac:dyDescent="0.3">
      <c r="A38" s="2"/>
      <c r="B38" s="13" t="s">
        <v>3</v>
      </c>
      <c r="C38" s="4"/>
      <c r="D38" s="14" t="s">
        <v>17</v>
      </c>
      <c r="E38" s="100">
        <f>J38</f>
        <v>149.72387715485473</v>
      </c>
      <c r="F38" s="7" t="s">
        <v>8</v>
      </c>
      <c r="G38" s="4"/>
      <c r="H38" s="4"/>
      <c r="I38" s="4"/>
      <c r="J38" s="68">
        <f>IF(J36&lt;-180,J36+360,J36)</f>
        <v>149.72387715485473</v>
      </c>
      <c r="K38" s="4"/>
      <c r="L38" s="4"/>
      <c r="M38" s="7" t="s">
        <v>54</v>
      </c>
      <c r="N38" s="4"/>
      <c r="O38" s="4"/>
      <c r="P38" s="4"/>
      <c r="Q38" s="4"/>
      <c r="R38" s="4"/>
      <c r="S38" s="4"/>
      <c r="T38" s="4"/>
      <c r="U38" s="4"/>
      <c r="V38" s="90"/>
      <c r="W38" s="41"/>
      <c r="X38" s="4"/>
      <c r="Y38" s="4"/>
      <c r="Z38" s="4"/>
      <c r="AA38" s="4"/>
      <c r="AB38" s="4"/>
      <c r="AC38" s="4"/>
      <c r="AD38" s="3"/>
      <c r="AH38" s="4"/>
    </row>
    <row r="39" spans="1:35" ht="18" customHeight="1" x14ac:dyDescent="0.25">
      <c r="A39" s="2"/>
      <c r="B39" s="114" t="s">
        <v>57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Y39" s="4"/>
      <c r="AA39" s="4"/>
      <c r="AB39" s="4"/>
      <c r="AC39" s="4"/>
      <c r="AD39" s="3"/>
      <c r="AG39" s="174"/>
      <c r="AH39" s="24"/>
      <c r="AI39" s="174"/>
    </row>
    <row r="40" spans="1:35" ht="18" customHeight="1" x14ac:dyDescent="0.3">
      <c r="A40" s="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3"/>
      <c r="AG40" s="174"/>
      <c r="AH40" s="175"/>
      <c r="AI40" s="174"/>
    </row>
    <row r="41" spans="1:35" ht="18" customHeight="1" x14ac:dyDescent="0.35">
      <c r="A41" s="2"/>
      <c r="B41" s="13" t="s">
        <v>38</v>
      </c>
      <c r="C41" s="4"/>
      <c r="D41" s="4"/>
      <c r="E41" s="80">
        <f>J41/24</f>
        <v>0.28471472743014292</v>
      </c>
      <c r="F41" s="4"/>
      <c r="G41" s="99" t="s">
        <v>0</v>
      </c>
      <c r="H41" s="78">
        <f>DEGREES(ACOS((SIN(RADIANS(N31))/COS(RADIANS(J22)))))</f>
        <v>96.087168060024425</v>
      </c>
      <c r="I41" s="72" t="s">
        <v>68</v>
      </c>
      <c r="J41" s="60">
        <f>J43-ACOS(SIN(RADIANS(-0.83))-(SIN(RADIANS(J22))*SIN(RADIANS(N31))/(COS(RADIANS(J22))*COS(RADIANS(N31)))))*180/PI()/15</f>
        <v>6.8331534583234301</v>
      </c>
      <c r="K41" s="7" t="s">
        <v>35</v>
      </c>
      <c r="L41" s="4"/>
      <c r="M41" s="13" t="s">
        <v>40</v>
      </c>
      <c r="N41" s="17"/>
      <c r="O41" s="4"/>
      <c r="P41" s="4"/>
      <c r="Q41" s="13" t="s">
        <v>55</v>
      </c>
      <c r="R41" s="4"/>
      <c r="S41" s="4"/>
      <c r="U41" s="13" t="s">
        <v>77</v>
      </c>
      <c r="V41" s="4"/>
      <c r="W41" s="4"/>
      <c r="AA41" s="4"/>
      <c r="AB41" s="4"/>
      <c r="AC41" s="4"/>
      <c r="AD41" s="3"/>
      <c r="AG41" s="174"/>
      <c r="AH41" s="24"/>
      <c r="AI41" s="174"/>
    </row>
    <row r="42" spans="1:35" ht="18" customHeight="1" x14ac:dyDescent="0.3">
      <c r="A42" s="2"/>
      <c r="B42" s="4"/>
      <c r="C42" s="4"/>
      <c r="D42" s="4"/>
      <c r="E42" s="81"/>
      <c r="F42" s="4"/>
      <c r="G42" s="4"/>
      <c r="H42" s="4"/>
      <c r="I42" s="4"/>
      <c r="J42" s="4"/>
      <c r="K42" s="7"/>
      <c r="L42" s="4"/>
      <c r="M42" s="10" t="s">
        <v>76</v>
      </c>
      <c r="N42" s="4"/>
      <c r="O42" s="4"/>
      <c r="P42" s="4"/>
      <c r="Q42" s="4"/>
      <c r="R42" s="4"/>
      <c r="S42" s="4"/>
      <c r="T42" s="4"/>
      <c r="U42" s="4" t="s">
        <v>78</v>
      </c>
      <c r="V42" s="4"/>
      <c r="W42" s="4"/>
      <c r="X42" s="4"/>
      <c r="AA42" s="4"/>
      <c r="AC42" s="4"/>
      <c r="AD42" s="3"/>
      <c r="AG42" s="174"/>
      <c r="AH42" s="24"/>
      <c r="AI42" s="174"/>
    </row>
    <row r="43" spans="1:35" ht="18" customHeight="1" x14ac:dyDescent="0.35">
      <c r="A43" s="2"/>
      <c r="B43" s="13" t="s">
        <v>87</v>
      </c>
      <c r="C43" s="7" t="s">
        <v>56</v>
      </c>
      <c r="D43" s="4"/>
      <c r="E43" s="80">
        <f>J43/24</f>
        <v>0.52368367456984799</v>
      </c>
      <c r="F43" s="4"/>
      <c r="G43" s="99" t="s">
        <v>0</v>
      </c>
      <c r="H43" s="74">
        <f>IF(J22&lt;N31,0,180)</f>
        <v>180</v>
      </c>
      <c r="I43" s="72" t="s">
        <v>68</v>
      </c>
      <c r="J43" s="60">
        <f>12+(15-J24)/15-C34</f>
        <v>12.568408189676353</v>
      </c>
      <c r="K43" s="7" t="s">
        <v>35</v>
      </c>
      <c r="L43" s="4"/>
      <c r="M43" s="4"/>
      <c r="N43" s="4"/>
      <c r="O43" s="4"/>
      <c r="P43" s="4"/>
      <c r="Q43" s="4"/>
      <c r="R43" s="4"/>
      <c r="S43" s="4"/>
      <c r="U43" s="4"/>
      <c r="V43" s="4"/>
      <c r="W43" s="4"/>
      <c r="X43" s="4"/>
      <c r="Y43" s="4"/>
      <c r="Z43" s="4"/>
      <c r="AA43" s="4"/>
      <c r="AB43" s="4"/>
      <c r="AC43" s="4"/>
      <c r="AD43" s="3"/>
      <c r="AG43" s="174"/>
      <c r="AH43" s="24"/>
      <c r="AI43" s="174"/>
    </row>
    <row r="44" spans="1:35" ht="18" customHeight="1" x14ac:dyDescent="0.35">
      <c r="A44" s="2"/>
      <c r="B44" s="13"/>
      <c r="C44" s="7"/>
      <c r="D44" s="4"/>
      <c r="E44" s="81"/>
      <c r="F44" s="2"/>
      <c r="G44" s="145"/>
      <c r="H44" s="178"/>
      <c r="I44" s="72"/>
      <c r="J44" s="60"/>
      <c r="K44" s="7"/>
      <c r="L44" s="4"/>
      <c r="M44" s="4"/>
      <c r="N44" s="4"/>
      <c r="O44" s="4"/>
      <c r="P44" s="4"/>
      <c r="Q44" s="4"/>
      <c r="R44" s="4"/>
      <c r="S44" s="4"/>
      <c r="U44" s="149">
        <f>J30-J43</f>
        <v>9.9815918103236481</v>
      </c>
      <c r="V44" s="4"/>
      <c r="W44" s="4"/>
      <c r="X44" s="24">
        <f xml:space="preserve"> 23.43472*SIN(RADIANS(360*(284+E28)/365.24))</f>
        <v>-4.5270665570447397</v>
      </c>
      <c r="Y44" s="4"/>
      <c r="Z44" s="4"/>
      <c r="AA44" s="4"/>
      <c r="AB44" s="4"/>
      <c r="AC44" s="4"/>
      <c r="AD44" s="3"/>
      <c r="AG44" s="174"/>
      <c r="AH44" s="24"/>
      <c r="AI44" s="174"/>
    </row>
    <row r="45" spans="1:35" ht="18" customHeight="1" x14ac:dyDescent="0.35">
      <c r="A45" s="2"/>
      <c r="B45" s="13" t="s">
        <v>88</v>
      </c>
      <c r="C45" s="180">
        <f>90-(E22-N31)</f>
        <v>34.256748885760693</v>
      </c>
      <c r="D45" s="4"/>
      <c r="E45" s="79">
        <f>IF(J22&gt;0,90-(J22-N31),90+(J22-N31))</f>
        <v>34.256748885760693</v>
      </c>
      <c r="F45" s="179" t="s">
        <v>8</v>
      </c>
      <c r="G45" s="145"/>
      <c r="H45" s="178"/>
      <c r="I45" s="72"/>
      <c r="J45" s="60"/>
      <c r="K45" s="7"/>
      <c r="L45" s="4"/>
      <c r="M45" s="4"/>
      <c r="N45" s="4"/>
      <c r="O45" s="4"/>
      <c r="P45" s="4"/>
      <c r="Q45" s="4"/>
      <c r="R45" s="4"/>
      <c r="S45" s="4"/>
      <c r="U45" s="4"/>
      <c r="V45" s="4"/>
      <c r="W45" s="4"/>
      <c r="X45" s="4"/>
      <c r="Y45" s="4"/>
      <c r="Z45" s="4"/>
      <c r="AA45" s="4"/>
      <c r="AB45" s="4"/>
      <c r="AC45" s="4"/>
      <c r="AD45" s="3"/>
      <c r="AG45" s="174"/>
      <c r="AH45" s="24"/>
      <c r="AI45" s="174"/>
    </row>
    <row r="46" spans="1:35" ht="18" customHeight="1" x14ac:dyDescent="0.35">
      <c r="A46" s="2"/>
      <c r="B46" s="13"/>
      <c r="C46" s="7"/>
      <c r="D46" s="4"/>
      <c r="E46" s="81"/>
      <c r="F46" s="2"/>
      <c r="G46" s="145"/>
      <c r="H46" s="178"/>
      <c r="I46" s="72"/>
      <c r="J46" s="60"/>
      <c r="K46" s="7"/>
      <c r="L46" s="4"/>
      <c r="M46" s="4"/>
      <c r="N46" s="4"/>
      <c r="O46" s="4"/>
      <c r="P46" s="4"/>
      <c r="Q46" s="4"/>
      <c r="R46" s="4"/>
      <c r="S46" s="4"/>
      <c r="U46" s="4"/>
      <c r="V46" s="4"/>
      <c r="W46" s="4"/>
      <c r="X46" s="4"/>
      <c r="Y46" s="4"/>
      <c r="Z46" s="4"/>
      <c r="AA46" s="4"/>
      <c r="AB46" s="4"/>
      <c r="AC46" s="4"/>
      <c r="AD46" s="3"/>
      <c r="AG46" s="174"/>
      <c r="AH46" s="24"/>
      <c r="AI46" s="174"/>
    </row>
    <row r="47" spans="1:35" ht="15" customHeight="1" x14ac:dyDescent="0.35">
      <c r="A47" s="2"/>
      <c r="B47" s="13" t="s">
        <v>39</v>
      </c>
      <c r="C47" s="4"/>
      <c r="D47" s="4"/>
      <c r="E47" s="80">
        <f>J47/24</f>
        <v>0.76266097420441559</v>
      </c>
      <c r="F47" s="4"/>
      <c r="G47" s="99" t="s">
        <v>0</v>
      </c>
      <c r="H47" s="78">
        <f>360-H41</f>
        <v>263.9128319399756</v>
      </c>
      <c r="I47" s="72" t="s">
        <v>68</v>
      </c>
      <c r="J47" s="60">
        <f>J43+12*ACOS((SIN(RADIANS(-0.833))-(SIN(RADIANS(J22))*SIN(RADIANS(N31))/(COS(RADIANS(J22))*COS(RADIANS(N31))))))/PI()</f>
        <v>18.303863380905973</v>
      </c>
      <c r="K47" s="7" t="s">
        <v>35</v>
      </c>
      <c r="L47" s="4"/>
      <c r="M47" s="13" t="s">
        <v>90</v>
      </c>
      <c r="N47" s="4"/>
      <c r="O47" s="4"/>
      <c r="P47" s="4"/>
      <c r="Q47" s="4"/>
      <c r="R47" s="4"/>
      <c r="S47" s="2"/>
      <c r="T47" s="2"/>
      <c r="U47" s="2"/>
      <c r="V47" s="4"/>
      <c r="W47" s="4"/>
      <c r="X47" s="4"/>
      <c r="Y47" s="4"/>
      <c r="Z47" s="4"/>
      <c r="AA47" s="4"/>
      <c r="AB47" s="4"/>
      <c r="AC47" s="4"/>
      <c r="AD47" s="3"/>
      <c r="AG47" s="174"/>
      <c r="AH47" s="24"/>
      <c r="AI47" s="174"/>
    </row>
    <row r="48" spans="1:35" s="1" customFormat="1" ht="20.25" customHeight="1" x14ac:dyDescent="0.35">
      <c r="A48" s="2"/>
      <c r="B48" s="82"/>
      <c r="C48" s="2"/>
      <c r="D48" s="2"/>
      <c r="E48" s="81"/>
      <c r="F48" s="2"/>
      <c r="G48" s="145"/>
      <c r="H48" s="146"/>
      <c r="I48" s="147"/>
      <c r="J48" s="148"/>
      <c r="K48" s="57"/>
      <c r="L48" s="2"/>
      <c r="M48" s="177"/>
      <c r="N48" s="2"/>
      <c r="O48" s="2"/>
      <c r="P48" s="2"/>
      <c r="Q48" s="2"/>
      <c r="R48" s="2"/>
      <c r="S48" s="177"/>
      <c r="T48" s="177"/>
      <c r="U48" s="2"/>
      <c r="V48" s="2"/>
      <c r="W48" s="2"/>
      <c r="X48" s="2"/>
      <c r="Y48" s="2"/>
      <c r="Z48" s="2"/>
      <c r="AA48" s="2"/>
      <c r="AB48" s="2"/>
      <c r="AC48" s="2"/>
      <c r="AD48" s="3"/>
      <c r="AG48" s="176"/>
      <c r="AH48" s="177"/>
      <c r="AI48" s="176"/>
    </row>
    <row r="49" spans="1:35" s="1" customFormat="1" ht="20.25" customHeight="1" x14ac:dyDescent="0.35">
      <c r="A49" s="2"/>
      <c r="B49" s="13" t="s">
        <v>89</v>
      </c>
      <c r="D49" s="59"/>
      <c r="E49" s="184">
        <f>IF(E45&gt;0,IFERROR(J49,1),IFERROR(J49,0))</f>
        <v>0.47793789427941019</v>
      </c>
      <c r="F49" s="57" t="s">
        <v>7</v>
      </c>
      <c r="G49" s="145"/>
      <c r="H49" s="146"/>
      <c r="I49" s="147"/>
      <c r="J49" s="148">
        <f>2*(ACOS(SIN(RADIANS(-0.83))-(SIN(RADIANS(J22))*SIN(RADIANS(N31))/(COS(RADIANS(J22))*COS(RADIANS(N31)))))*180/PI()/15)/24</f>
        <v>0.47793789427941019</v>
      </c>
      <c r="K49" s="57"/>
      <c r="L49" s="2"/>
      <c r="M49"/>
      <c r="N49" s="2"/>
      <c r="O49" s="2"/>
      <c r="P49" s="2"/>
      <c r="Q49" s="2"/>
      <c r="R49" s="2"/>
      <c r="S49" s="177"/>
      <c r="T49" s="177"/>
      <c r="U49" s="2"/>
      <c r="V49" s="2"/>
      <c r="W49" s="2"/>
      <c r="X49" s="182"/>
      <c r="Y49" s="2"/>
      <c r="Z49" s="2"/>
      <c r="AA49" s="2"/>
      <c r="AB49" s="2"/>
      <c r="AC49" s="2"/>
      <c r="AD49" s="3"/>
      <c r="AG49" s="176"/>
      <c r="AH49" s="177"/>
      <c r="AI49" s="176"/>
    </row>
    <row r="50" spans="1:35" s="1" customFormat="1" ht="20.25" customHeight="1" x14ac:dyDescent="0.35">
      <c r="A50" s="2"/>
      <c r="B50" s="13"/>
      <c r="D50" s="59"/>
      <c r="E50" s="81"/>
      <c r="F50" s="57"/>
      <c r="G50" s="145"/>
      <c r="H50" s="146"/>
      <c r="I50" s="147"/>
      <c r="J50" s="148"/>
      <c r="K50" s="57"/>
      <c r="L50" s="2"/>
      <c r="M50" s="2"/>
      <c r="N50" s="2"/>
      <c r="O50" s="2"/>
      <c r="P50" s="2"/>
      <c r="Q50" s="2"/>
      <c r="R50" s="2"/>
      <c r="T50" s="177"/>
      <c r="U50" s="2"/>
      <c r="V50" s="2"/>
      <c r="W50" s="2"/>
      <c r="X50" s="2"/>
      <c r="Y50" s="2"/>
      <c r="Z50" s="2"/>
      <c r="AA50" s="2"/>
      <c r="AB50" s="2"/>
      <c r="AC50" s="2"/>
      <c r="AD50" s="3"/>
      <c r="AG50" s="176"/>
      <c r="AH50" s="177"/>
      <c r="AI50" s="176"/>
    </row>
    <row r="51" spans="1:35" s="1" customFormat="1" ht="20.25" customHeight="1" x14ac:dyDescent="0.35">
      <c r="A51" s="2"/>
      <c r="B51" s="13" t="s">
        <v>91</v>
      </c>
      <c r="D51" s="59"/>
      <c r="E51" s="79">
        <f>DEGREES(ACOS((SIN(RADIANS(J22))-SIN(RADIANS(N31))*SIN(RADIANS(0)))/(COS(RADIANS(N31))*COS(RADIANS(0)))))</f>
        <v>37.842937830112348</v>
      </c>
      <c r="F51" s="179" t="s">
        <v>8</v>
      </c>
      <c r="G51" s="145"/>
      <c r="H51" s="146"/>
      <c r="I51" s="147"/>
      <c r="K51" s="57"/>
      <c r="L51" s="2"/>
      <c r="M51" s="2"/>
      <c r="N51" s="2"/>
      <c r="O51" s="2"/>
      <c r="P51" s="2"/>
      <c r="Q51" s="2"/>
      <c r="R51" s="2"/>
      <c r="S51" s="177"/>
      <c r="T51" s="183"/>
      <c r="U51" s="2"/>
      <c r="V51" s="2"/>
      <c r="W51" s="2"/>
      <c r="X51" s="2"/>
      <c r="Y51" s="2"/>
      <c r="Z51" s="2"/>
      <c r="AA51" s="2"/>
      <c r="AB51" s="2"/>
      <c r="AC51" s="2"/>
      <c r="AD51" s="3"/>
      <c r="AG51" s="176"/>
      <c r="AH51" s="177"/>
      <c r="AI51" s="176"/>
    </row>
    <row r="52" spans="1:35" ht="24" customHeight="1" x14ac:dyDescent="0.25">
      <c r="A52" s="2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3"/>
      <c r="AG52" s="174"/>
      <c r="AH52" s="24"/>
      <c r="AI52" s="174"/>
    </row>
    <row r="53" spans="1:35" x14ac:dyDescent="0.2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3"/>
      <c r="AE53" s="4"/>
      <c r="AF53" s="4"/>
      <c r="AG53" s="24"/>
      <c r="AH53" s="24"/>
      <c r="AI53" s="174"/>
    </row>
    <row r="54" spans="1:35" ht="18.75" x14ac:dyDescent="0.3">
      <c r="A54" s="2"/>
      <c r="B54" s="13"/>
      <c r="C54" s="13"/>
      <c r="D54" s="14"/>
      <c r="E54" s="15"/>
      <c r="F54" s="7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3"/>
      <c r="AE54" s="4"/>
      <c r="AF54" s="4"/>
      <c r="AG54" s="24"/>
      <c r="AH54" s="24"/>
      <c r="AI54" s="174"/>
    </row>
    <row r="55" spans="1:35" ht="18.75" x14ac:dyDescent="0.3">
      <c r="A55" s="2"/>
      <c r="B55" s="13"/>
      <c r="C55" s="13"/>
      <c r="D55" s="14"/>
      <c r="E55" s="15"/>
      <c r="F55" s="7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3"/>
    </row>
    <row r="56" spans="1:35" ht="18.75" x14ac:dyDescent="0.3">
      <c r="A56" s="2"/>
      <c r="B56" s="13"/>
      <c r="C56" s="13"/>
      <c r="D56" s="14"/>
      <c r="E56" s="15"/>
      <c r="F56" s="7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3"/>
    </row>
    <row r="57" spans="1:35" ht="18.75" x14ac:dyDescent="0.3">
      <c r="A57" s="2"/>
      <c r="B57" s="13"/>
      <c r="C57" s="13"/>
      <c r="D57" s="14"/>
      <c r="E57" s="15"/>
      <c r="F57" s="7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3"/>
    </row>
    <row r="58" spans="1:35" ht="18.75" x14ac:dyDescent="0.3">
      <c r="A58" s="2"/>
      <c r="B58" s="13"/>
      <c r="C58" s="13"/>
      <c r="D58" s="14"/>
      <c r="E58" s="15"/>
      <c r="F58" s="7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3"/>
    </row>
    <row r="59" spans="1:35" ht="18.75" x14ac:dyDescent="0.3">
      <c r="A59" s="2"/>
      <c r="B59" s="13"/>
      <c r="C59" s="13"/>
      <c r="D59" s="14"/>
      <c r="E59" s="15"/>
      <c r="F59" s="7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3"/>
    </row>
    <row r="60" spans="1:35" ht="18.75" x14ac:dyDescent="0.3">
      <c r="A60" s="2"/>
      <c r="B60" s="13"/>
      <c r="C60" s="13"/>
      <c r="D60" s="14"/>
      <c r="E60" s="15"/>
      <c r="F60" s="7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3"/>
    </row>
    <row r="61" spans="1:35" ht="18.75" x14ac:dyDescent="0.3">
      <c r="A61" s="2"/>
      <c r="B61" s="13"/>
      <c r="C61" s="13"/>
      <c r="D61" s="14"/>
      <c r="E61" s="15"/>
      <c r="F61" s="7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3"/>
    </row>
    <row r="62" spans="1:35" ht="18.75" x14ac:dyDescent="0.3">
      <c r="A62" s="2"/>
      <c r="B62" s="13"/>
      <c r="C62" s="13"/>
      <c r="D62" s="14"/>
      <c r="E62" s="15"/>
      <c r="F62" s="7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3"/>
    </row>
    <row r="63" spans="1:35" ht="18.75" x14ac:dyDescent="0.3">
      <c r="A63" s="2"/>
      <c r="B63" s="13"/>
      <c r="C63" s="13"/>
      <c r="D63" s="14"/>
      <c r="E63" s="15"/>
      <c r="F63" s="7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3"/>
    </row>
    <row r="64" spans="1:35" ht="18.75" x14ac:dyDescent="0.3">
      <c r="A64" s="2"/>
      <c r="B64" s="13"/>
      <c r="C64" s="13"/>
      <c r="D64" s="14"/>
      <c r="E64" s="15"/>
      <c r="F64" s="7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3"/>
    </row>
    <row r="65" spans="1:30" ht="18.75" x14ac:dyDescent="0.3">
      <c r="A65" s="2"/>
      <c r="B65" s="13"/>
      <c r="C65" s="13"/>
      <c r="D65" s="14"/>
      <c r="E65" s="15"/>
      <c r="F65" s="7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3"/>
    </row>
    <row r="66" spans="1:30" ht="18.75" x14ac:dyDescent="0.3">
      <c r="A66" s="2"/>
      <c r="B66" s="13"/>
      <c r="C66" s="13"/>
      <c r="D66" s="14"/>
      <c r="E66" s="15"/>
      <c r="F66" s="7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3"/>
    </row>
    <row r="67" spans="1:30" ht="18.75" x14ac:dyDescent="0.3">
      <c r="A67" s="2"/>
      <c r="B67" s="13"/>
      <c r="C67" s="13"/>
      <c r="D67" s="14"/>
      <c r="E67" s="15"/>
      <c r="F67" s="7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3"/>
    </row>
    <row r="68" spans="1:30" ht="18.75" x14ac:dyDescent="0.3">
      <c r="A68" s="2"/>
      <c r="B68" s="13"/>
      <c r="C68" s="13"/>
      <c r="D68" s="14"/>
      <c r="E68" s="15"/>
      <c r="F68" s="7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3"/>
    </row>
    <row r="69" spans="1:30" ht="18.75" x14ac:dyDescent="0.3">
      <c r="A69" s="2"/>
      <c r="B69" s="13"/>
      <c r="C69" s="13"/>
      <c r="D69" s="14"/>
      <c r="E69" s="15"/>
      <c r="F69" s="7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3"/>
    </row>
    <row r="70" spans="1:30" ht="18.75" x14ac:dyDescent="0.3">
      <c r="A70" s="2"/>
      <c r="B70" s="13"/>
      <c r="C70" s="13"/>
      <c r="D70" s="14"/>
      <c r="E70" s="15"/>
      <c r="F70" s="7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3"/>
    </row>
    <row r="71" spans="1:30" ht="18.75" x14ac:dyDescent="0.3">
      <c r="A71" s="2"/>
      <c r="B71" s="13"/>
      <c r="C71" s="13"/>
      <c r="D71" s="14"/>
      <c r="E71" s="15"/>
      <c r="F71" s="7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3"/>
    </row>
    <row r="72" spans="1:30" ht="18.75" x14ac:dyDescent="0.3">
      <c r="A72" s="2"/>
      <c r="B72" s="13"/>
      <c r="C72" s="13"/>
      <c r="D72" s="14"/>
      <c r="E72" s="15"/>
      <c r="F72" s="7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3"/>
    </row>
    <row r="73" spans="1:30" ht="18.75" x14ac:dyDescent="0.3">
      <c r="A73" s="2"/>
      <c r="B73" s="13"/>
      <c r="C73" s="13"/>
      <c r="D73" s="14"/>
      <c r="E73" s="15"/>
      <c r="F73" s="7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3"/>
    </row>
    <row r="74" spans="1:30" ht="18.75" x14ac:dyDescent="0.3">
      <c r="A74" s="2"/>
      <c r="B74" s="13"/>
      <c r="C74" s="13"/>
      <c r="D74" s="14"/>
      <c r="E74" s="15"/>
      <c r="F74" s="7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3"/>
    </row>
    <row r="75" spans="1:30" ht="21" x14ac:dyDescent="0.35">
      <c r="A75" s="2"/>
      <c r="B75" s="51">
        <f>IF($E$22&lt;0,$E$22*-1,$E$22)</f>
        <v>52</v>
      </c>
      <c r="C75" s="52" t="str">
        <f>IF($E$22&gt;0,"° Nördliche Breite","° Südliche Breite")</f>
        <v>° Nördliche Breite</v>
      </c>
      <c r="D75" s="52"/>
      <c r="E75" s="15"/>
      <c r="F75" s="53">
        <f>IF($E$24&lt;0,$E$24*-1,$E$24)</f>
        <v>9</v>
      </c>
      <c r="G75" s="52" t="str">
        <f>IF($E$24&gt;0,"° Östliche Länge","° Westliche Länge")</f>
        <v>° Östliche Länge</v>
      </c>
      <c r="H75" s="54"/>
      <c r="I75" s="54"/>
      <c r="J75" s="54"/>
      <c r="K75" s="91"/>
      <c r="L75" s="91"/>
      <c r="M75" s="92">
        <f>$E$26</f>
        <v>43170</v>
      </c>
      <c r="N75" s="17"/>
      <c r="O75" s="4"/>
      <c r="P75" s="4"/>
      <c r="Q75" s="93">
        <f>J30/24</f>
        <v>0.93958333333333333</v>
      </c>
      <c r="R75" s="52" t="s">
        <v>28</v>
      </c>
      <c r="S75" s="4"/>
      <c r="T75" s="4"/>
      <c r="U75" s="4"/>
      <c r="V75" s="52" t="s">
        <v>9</v>
      </c>
      <c r="W75" s="55">
        <f>$N$22</f>
        <v>-35.59135157085268</v>
      </c>
      <c r="X75" s="52" t="s">
        <v>8</v>
      </c>
      <c r="Y75" s="4"/>
      <c r="Z75" s="52" t="s">
        <v>0</v>
      </c>
      <c r="AA75" s="55">
        <f>$S$28</f>
        <v>38.218787717826508</v>
      </c>
      <c r="AB75" s="52" t="s">
        <v>8</v>
      </c>
      <c r="AC75" s="4"/>
      <c r="AD75" s="3"/>
    </row>
    <row r="76" spans="1:30" x14ac:dyDescent="0.25">
      <c r="A76" s="2"/>
      <c r="B76" s="40" t="s">
        <v>20</v>
      </c>
      <c r="C76" s="38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3"/>
    </row>
    <row r="77" spans="1:30" x14ac:dyDescent="0.25">
      <c r="A77" s="2"/>
      <c r="B77" s="16"/>
      <c r="C77" s="16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3"/>
    </row>
    <row r="78" spans="1:30" x14ac:dyDescent="0.25">
      <c r="A78" s="2"/>
      <c r="B78" s="16"/>
      <c r="C78" s="16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3"/>
    </row>
    <row r="79" spans="1:30" x14ac:dyDescent="0.25">
      <c r="A79" s="2"/>
      <c r="B79" s="16"/>
      <c r="C79" s="16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3"/>
    </row>
    <row r="80" spans="1:30" x14ac:dyDescent="0.25">
      <c r="A80" s="2"/>
      <c r="B80" s="16"/>
      <c r="C80" s="16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3"/>
    </row>
    <row r="81" spans="1:30" x14ac:dyDescent="0.25">
      <c r="A81" s="2"/>
      <c r="B81" s="16"/>
      <c r="C81" s="16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3"/>
    </row>
    <row r="82" spans="1:30" x14ac:dyDescent="0.25">
      <c r="A82" s="2"/>
      <c r="B82" s="16"/>
      <c r="C82" s="16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3"/>
    </row>
    <row r="83" spans="1:30" x14ac:dyDescent="0.25">
      <c r="A83" s="2"/>
      <c r="B83" s="16"/>
      <c r="C83" s="16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3"/>
    </row>
    <row r="84" spans="1:30" x14ac:dyDescent="0.25">
      <c r="A84" s="2"/>
      <c r="B84" s="16"/>
      <c r="C84" s="16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3"/>
    </row>
    <row r="85" spans="1:30" x14ac:dyDescent="0.25">
      <c r="A85" s="2"/>
      <c r="B85" s="16"/>
      <c r="C85" s="16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3"/>
    </row>
    <row r="86" spans="1:30" x14ac:dyDescent="0.25">
      <c r="A86" s="2"/>
      <c r="B86" s="16"/>
      <c r="C86" s="16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3"/>
    </row>
    <row r="87" spans="1:30" x14ac:dyDescent="0.25">
      <c r="A87" s="2"/>
      <c r="B87" s="16"/>
      <c r="C87" s="16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3"/>
    </row>
    <row r="88" spans="1:30" x14ac:dyDescent="0.25">
      <c r="A88" s="2"/>
      <c r="B88" s="16"/>
      <c r="C88" s="16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3"/>
    </row>
    <row r="89" spans="1:30" x14ac:dyDescent="0.25">
      <c r="A89" s="2"/>
      <c r="B89" s="16"/>
      <c r="C89" s="16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3"/>
    </row>
    <row r="90" spans="1:30" x14ac:dyDescent="0.25">
      <c r="A90" s="2"/>
      <c r="B90" s="16"/>
      <c r="C90" s="16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3"/>
    </row>
    <row r="91" spans="1:30" x14ac:dyDescent="0.25">
      <c r="A91" s="2"/>
      <c r="B91" s="16"/>
      <c r="C91" s="16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3"/>
    </row>
    <row r="92" spans="1:30" x14ac:dyDescent="0.25">
      <c r="A92" s="2"/>
      <c r="B92" s="16"/>
      <c r="C92" s="16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3"/>
    </row>
    <row r="93" spans="1:30" x14ac:dyDescent="0.25">
      <c r="A93" s="2"/>
      <c r="B93" s="16"/>
      <c r="C93" s="16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3"/>
    </row>
    <row r="94" spans="1:30" x14ac:dyDescent="0.25">
      <c r="A94" s="2"/>
      <c r="B94" s="16"/>
      <c r="C94" s="16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3"/>
    </row>
    <row r="95" spans="1:30" x14ac:dyDescent="0.25">
      <c r="A95" s="2"/>
      <c r="B95" s="16"/>
      <c r="C95" s="16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3"/>
    </row>
    <row r="96" spans="1:30" x14ac:dyDescent="0.25">
      <c r="A96" s="2"/>
      <c r="B96" s="16"/>
      <c r="C96" s="16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3"/>
    </row>
    <row r="97" spans="1:30" x14ac:dyDescent="0.25">
      <c r="A97" s="2"/>
      <c r="B97" s="16"/>
      <c r="C97" s="16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3"/>
    </row>
    <row r="98" spans="1:30" x14ac:dyDescent="0.25">
      <c r="A98" s="2"/>
      <c r="B98" s="16"/>
      <c r="C98" s="16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3"/>
    </row>
    <row r="99" spans="1:30" x14ac:dyDescent="0.25">
      <c r="A99" s="2"/>
      <c r="B99" s="16"/>
      <c r="C99" s="16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3"/>
    </row>
    <row r="100" spans="1:30" x14ac:dyDescent="0.25">
      <c r="A100" s="2"/>
      <c r="B100" s="16"/>
      <c r="C100" s="16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3"/>
    </row>
    <row r="101" spans="1:30" x14ac:dyDescent="0.25">
      <c r="A101" s="2"/>
      <c r="B101" s="16"/>
      <c r="C101" s="16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3"/>
    </row>
    <row r="102" spans="1:30" x14ac:dyDescent="0.25">
      <c r="A102" s="2"/>
      <c r="B102" s="16"/>
      <c r="C102" s="16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3"/>
    </row>
    <row r="103" spans="1:30" ht="18.75" x14ac:dyDescent="0.3">
      <c r="A103" s="2"/>
      <c r="B103" s="16"/>
      <c r="C103" s="16"/>
      <c r="D103" s="4"/>
      <c r="E103" s="4"/>
      <c r="F103" s="61" t="s">
        <v>41</v>
      </c>
      <c r="G103" s="62">
        <f>E41</f>
        <v>0.28471472743014292</v>
      </c>
      <c r="H103" s="4"/>
      <c r="I103" s="4"/>
      <c r="J103" s="4"/>
      <c r="K103" s="4"/>
      <c r="L103" s="4"/>
      <c r="M103" s="173" t="s">
        <v>37</v>
      </c>
      <c r="N103" s="170">
        <f>E43</f>
        <v>0.52368367456984799</v>
      </c>
      <c r="O103" s="4"/>
      <c r="P103" s="4"/>
      <c r="Q103" s="4"/>
      <c r="R103" s="4"/>
      <c r="S103" s="4"/>
      <c r="T103" s="4"/>
      <c r="U103" s="61" t="s">
        <v>42</v>
      </c>
      <c r="V103" s="64">
        <f>E47</f>
        <v>0.76266097420441559</v>
      </c>
      <c r="W103" s="4"/>
      <c r="X103" s="4"/>
      <c r="Y103" s="4"/>
      <c r="Z103" s="4"/>
      <c r="AA103" s="4"/>
      <c r="AB103" s="4"/>
      <c r="AC103" s="4"/>
      <c r="AD103" s="3"/>
    </row>
    <row r="104" spans="1:30" ht="18.75" x14ac:dyDescent="0.3">
      <c r="A104" s="2"/>
      <c r="B104" s="16"/>
      <c r="C104" s="16"/>
      <c r="D104" s="4"/>
      <c r="E104" s="4"/>
      <c r="F104" s="57"/>
      <c r="G104" s="171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57"/>
      <c r="V104" s="172"/>
      <c r="W104" s="4"/>
      <c r="X104" s="4"/>
      <c r="Y104" s="4"/>
      <c r="Z104" s="4"/>
      <c r="AA104" s="4"/>
      <c r="AB104" s="4"/>
      <c r="AC104" s="4"/>
      <c r="AD104" s="3"/>
    </row>
    <row r="105" spans="1:30" ht="18.75" x14ac:dyDescent="0.3">
      <c r="A105" s="2"/>
      <c r="B105" s="16"/>
      <c r="C105" s="16"/>
      <c r="D105" s="4"/>
      <c r="E105" s="4"/>
      <c r="F105" s="57"/>
      <c r="G105" s="171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57"/>
      <c r="V105" s="172"/>
      <c r="W105" s="4"/>
      <c r="X105" s="4"/>
      <c r="Y105" s="4"/>
      <c r="Z105" s="4"/>
      <c r="AA105" s="4"/>
      <c r="AB105" s="4"/>
      <c r="AC105" s="4"/>
      <c r="AD105" s="3"/>
    </row>
    <row r="106" spans="1:30" ht="18.75" x14ac:dyDescent="0.3">
      <c r="A106" s="2"/>
      <c r="B106" s="16"/>
      <c r="C106" s="16"/>
      <c r="D106" s="4"/>
      <c r="E106" s="4"/>
      <c r="F106" s="57"/>
      <c r="G106" s="171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57"/>
      <c r="V106" s="172"/>
      <c r="W106" s="4"/>
      <c r="X106" s="4"/>
      <c r="Y106" s="4"/>
      <c r="Z106" s="4"/>
      <c r="AA106" s="4"/>
      <c r="AB106" s="4"/>
      <c r="AC106" s="4"/>
      <c r="AD106" s="3"/>
    </row>
    <row r="107" spans="1:30" ht="18.75" x14ac:dyDescent="0.3">
      <c r="A107" s="2"/>
      <c r="B107" s="16"/>
      <c r="C107" s="16"/>
      <c r="D107" s="4"/>
      <c r="E107" s="4"/>
      <c r="F107" s="57"/>
      <c r="G107" s="171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57"/>
      <c r="V107" s="172"/>
      <c r="W107" s="4"/>
      <c r="X107" s="4"/>
      <c r="Y107" s="4"/>
      <c r="Z107" s="4"/>
      <c r="AA107" s="4"/>
      <c r="AB107" s="4"/>
      <c r="AC107" s="4"/>
      <c r="AD107" s="3"/>
    </row>
    <row r="108" spans="1:30" ht="18.75" x14ac:dyDescent="0.3">
      <c r="A108" s="2"/>
      <c r="B108" s="16"/>
      <c r="C108" s="16"/>
      <c r="D108" s="4"/>
      <c r="E108" s="4"/>
      <c r="F108" s="57"/>
      <c r="G108" s="171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57"/>
      <c r="V108" s="172"/>
      <c r="W108" s="4"/>
      <c r="X108" s="4"/>
      <c r="Y108" s="4"/>
      <c r="Z108" s="4"/>
      <c r="AA108" s="4"/>
      <c r="AB108" s="4"/>
      <c r="AC108" s="4"/>
      <c r="AD108" s="3"/>
    </row>
    <row r="109" spans="1:30" ht="18.75" x14ac:dyDescent="0.3">
      <c r="A109" s="2"/>
      <c r="B109" s="16"/>
      <c r="C109" s="16"/>
      <c r="D109" s="4"/>
      <c r="E109" s="4"/>
      <c r="F109" s="57"/>
      <c r="G109" s="171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57"/>
      <c r="V109" s="172"/>
      <c r="W109" s="4"/>
      <c r="X109" s="4"/>
      <c r="Y109" s="4"/>
      <c r="Z109" s="4"/>
      <c r="AA109" s="4"/>
      <c r="AB109" s="4"/>
      <c r="AC109" s="4"/>
      <c r="AD109" s="3"/>
    </row>
    <row r="110" spans="1:30" ht="18.75" x14ac:dyDescent="0.3">
      <c r="A110" s="2"/>
      <c r="B110" s="16"/>
      <c r="C110" s="16"/>
      <c r="D110" s="4"/>
      <c r="E110" s="4"/>
      <c r="F110" s="57"/>
      <c r="G110" s="171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57"/>
      <c r="V110" s="172"/>
      <c r="W110" s="4"/>
      <c r="X110" s="4"/>
      <c r="Y110" s="4"/>
      <c r="Z110" s="4"/>
      <c r="AA110" s="4"/>
      <c r="AB110" s="4"/>
      <c r="AC110" s="4"/>
      <c r="AD110" s="3"/>
    </row>
    <row r="111" spans="1:30" ht="18.75" x14ac:dyDescent="0.3">
      <c r="A111" s="2"/>
      <c r="B111" s="16"/>
      <c r="C111" s="16"/>
      <c r="D111" s="4"/>
      <c r="E111" s="4"/>
      <c r="F111" s="57"/>
      <c r="G111" s="171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57"/>
      <c r="V111" s="172"/>
      <c r="W111" s="4"/>
      <c r="X111" s="4"/>
      <c r="Y111" s="4"/>
      <c r="Z111" s="4"/>
      <c r="AA111" s="4"/>
      <c r="AB111" s="4"/>
      <c r="AC111" s="4"/>
      <c r="AD111" s="3"/>
    </row>
    <row r="112" spans="1:30" ht="18.75" x14ac:dyDescent="0.3">
      <c r="A112" s="2"/>
      <c r="B112" s="16"/>
      <c r="C112" s="16"/>
      <c r="D112" s="4"/>
      <c r="E112" s="4"/>
      <c r="F112" s="57"/>
      <c r="G112" s="171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57"/>
      <c r="V112" s="172"/>
      <c r="W112" s="4"/>
      <c r="X112" s="4"/>
      <c r="Y112" s="4"/>
      <c r="Z112" s="4"/>
      <c r="AA112" s="4"/>
      <c r="AB112" s="4"/>
      <c r="AC112" s="4"/>
      <c r="AD112" s="3"/>
    </row>
    <row r="113" spans="1:30" ht="18.75" x14ac:dyDescent="0.3">
      <c r="A113" s="2"/>
      <c r="B113" s="16"/>
      <c r="C113" s="16"/>
      <c r="D113" s="4"/>
      <c r="E113" s="4"/>
      <c r="F113" s="57"/>
      <c r="G113" s="171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57"/>
      <c r="V113" s="172"/>
      <c r="W113" s="4"/>
      <c r="X113" s="4"/>
      <c r="Y113" s="4"/>
      <c r="Z113" s="4"/>
      <c r="AA113" s="4"/>
      <c r="AB113" s="4"/>
      <c r="AC113" s="4"/>
      <c r="AD113" s="3"/>
    </row>
    <row r="114" spans="1:30" ht="18.75" x14ac:dyDescent="0.3">
      <c r="A114" s="2"/>
      <c r="B114" s="16"/>
      <c r="C114" s="16"/>
      <c r="D114" s="4"/>
      <c r="E114" s="4"/>
      <c r="F114" s="57"/>
      <c r="G114" s="171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57"/>
      <c r="V114" s="172"/>
      <c r="W114" s="4"/>
      <c r="X114" s="4"/>
      <c r="Y114" s="4"/>
      <c r="Z114" s="4"/>
      <c r="AA114" s="4"/>
      <c r="AB114" s="4"/>
      <c r="AC114" s="4"/>
      <c r="AD114" s="3"/>
    </row>
    <row r="115" spans="1:30" ht="18.75" x14ac:dyDescent="0.3">
      <c r="A115" s="2"/>
      <c r="B115" s="16"/>
      <c r="C115" s="16"/>
      <c r="D115" s="4"/>
      <c r="E115" s="4"/>
      <c r="F115" s="57"/>
      <c r="G115" s="171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57"/>
      <c r="V115" s="172"/>
      <c r="W115" s="4"/>
      <c r="X115" s="4"/>
      <c r="Y115" s="4"/>
      <c r="Z115" s="4"/>
      <c r="AA115" s="4"/>
      <c r="AB115" s="4"/>
      <c r="AC115" s="4"/>
      <c r="AD115" s="3"/>
    </row>
    <row r="116" spans="1:30" ht="18.75" x14ac:dyDescent="0.3">
      <c r="A116" s="2"/>
      <c r="B116" s="16"/>
      <c r="C116" s="16"/>
      <c r="D116" s="4"/>
      <c r="E116" s="4"/>
      <c r="F116" s="57"/>
      <c r="G116" s="171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57"/>
      <c r="V116" s="172"/>
      <c r="W116" s="4"/>
      <c r="X116" s="4"/>
      <c r="Y116" s="4"/>
      <c r="Z116" s="4"/>
      <c r="AA116" s="4"/>
      <c r="AB116" s="4"/>
      <c r="AC116" s="4"/>
      <c r="AD116" s="3"/>
    </row>
    <row r="117" spans="1:30" ht="18.75" x14ac:dyDescent="0.3">
      <c r="A117" s="2"/>
      <c r="B117" s="16"/>
      <c r="C117" s="16"/>
      <c r="D117" s="4"/>
      <c r="E117" s="4"/>
      <c r="F117" s="57"/>
      <c r="G117" s="171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57"/>
      <c r="V117" s="172"/>
      <c r="W117" s="4"/>
      <c r="X117" s="4"/>
      <c r="Y117" s="4"/>
      <c r="Z117" s="4"/>
      <c r="AA117" s="4"/>
      <c r="AB117" s="4"/>
      <c r="AC117" s="4"/>
      <c r="AD117" s="3"/>
    </row>
    <row r="118" spans="1:30" ht="18.75" x14ac:dyDescent="0.3">
      <c r="A118" s="2"/>
      <c r="B118" s="16"/>
      <c r="C118" s="16"/>
      <c r="D118" s="4"/>
      <c r="E118" s="4"/>
      <c r="F118" s="57"/>
      <c r="G118" s="171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57"/>
      <c r="V118" s="172"/>
      <c r="W118" s="4"/>
      <c r="X118" s="4"/>
      <c r="Y118" s="4"/>
      <c r="Z118" s="4"/>
      <c r="AA118" s="4"/>
      <c r="AB118" s="4"/>
      <c r="AC118" s="4"/>
      <c r="AD118" s="3"/>
    </row>
    <row r="119" spans="1:30" ht="18.75" x14ac:dyDescent="0.3">
      <c r="A119" s="2"/>
      <c r="B119" s="16"/>
      <c r="C119" s="16"/>
      <c r="D119" s="4"/>
      <c r="E119" s="4"/>
      <c r="F119" s="57"/>
      <c r="G119" s="171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57"/>
      <c r="V119" s="172"/>
      <c r="W119" s="4"/>
      <c r="X119" s="4"/>
      <c r="Y119" s="4"/>
      <c r="Z119" s="4"/>
      <c r="AA119" s="4"/>
      <c r="AB119" s="4"/>
      <c r="AC119" s="4"/>
      <c r="AD119" s="3"/>
    </row>
    <row r="120" spans="1:30" ht="18.75" x14ac:dyDescent="0.3">
      <c r="A120" s="2"/>
      <c r="B120" s="16"/>
      <c r="C120" s="16"/>
      <c r="D120" s="4"/>
      <c r="E120" s="4"/>
      <c r="F120" s="57"/>
      <c r="G120" s="171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57"/>
      <c r="V120" s="172"/>
      <c r="W120" s="4"/>
      <c r="X120" s="4"/>
      <c r="Y120" s="4"/>
      <c r="Z120" s="4"/>
      <c r="AA120" s="4"/>
      <c r="AB120" s="4"/>
      <c r="AC120" s="4"/>
      <c r="AD120" s="3"/>
    </row>
    <row r="121" spans="1:30" ht="18.75" x14ac:dyDescent="0.3">
      <c r="A121" s="2"/>
      <c r="B121" s="16"/>
      <c r="C121" s="16"/>
      <c r="D121" s="4"/>
      <c r="E121" s="4"/>
      <c r="F121" s="57"/>
      <c r="G121" s="171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57"/>
      <c r="V121" s="172"/>
      <c r="W121" s="4"/>
      <c r="X121" s="4"/>
      <c r="Y121" s="4"/>
      <c r="Z121" s="4"/>
      <c r="AA121" s="4"/>
      <c r="AB121" s="4"/>
      <c r="AC121" s="4"/>
      <c r="AD121" s="3"/>
    </row>
    <row r="122" spans="1:30" ht="18.75" x14ac:dyDescent="0.3">
      <c r="A122" s="2"/>
      <c r="B122" s="16"/>
      <c r="C122" s="16"/>
      <c r="D122" s="4"/>
      <c r="E122" s="4"/>
      <c r="F122" s="57"/>
      <c r="G122" s="171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57"/>
      <c r="V122" s="172"/>
      <c r="W122" s="4"/>
      <c r="X122" s="4"/>
      <c r="Y122" s="4"/>
      <c r="Z122" s="4"/>
      <c r="AA122" s="4"/>
      <c r="AB122" s="4"/>
      <c r="AC122" s="4"/>
      <c r="AD122" s="3"/>
    </row>
    <row r="123" spans="1:30" ht="18.75" x14ac:dyDescent="0.3">
      <c r="A123" s="2"/>
      <c r="B123" s="16"/>
      <c r="C123" s="16"/>
      <c r="D123" s="4"/>
      <c r="E123" s="4"/>
      <c r="F123" s="57"/>
      <c r="G123" s="171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57"/>
      <c r="V123" s="172"/>
      <c r="W123" s="4"/>
      <c r="X123" s="4"/>
      <c r="Y123" s="4"/>
      <c r="Z123" s="4"/>
      <c r="AA123" s="4"/>
      <c r="AB123" s="4"/>
      <c r="AC123" s="4"/>
      <c r="AD123" s="3"/>
    </row>
    <row r="124" spans="1:30" ht="18.75" x14ac:dyDescent="0.3">
      <c r="A124" s="2"/>
      <c r="B124" s="16"/>
      <c r="C124" s="16"/>
      <c r="D124" s="4"/>
      <c r="E124" s="4"/>
      <c r="F124" s="57"/>
      <c r="G124" s="171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57"/>
      <c r="V124" s="172"/>
      <c r="W124" s="4"/>
      <c r="X124" s="4"/>
      <c r="Y124" s="4"/>
      <c r="Z124" s="4"/>
      <c r="AA124" s="4"/>
      <c r="AB124" s="4"/>
      <c r="AC124" s="4"/>
      <c r="AD124" s="3"/>
    </row>
    <row r="125" spans="1:30" ht="18.75" x14ac:dyDescent="0.3">
      <c r="A125" s="2"/>
      <c r="B125" s="16"/>
      <c r="C125" s="16"/>
      <c r="D125" s="4"/>
      <c r="E125" s="4"/>
      <c r="F125" s="57"/>
      <c r="G125" s="171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57"/>
      <c r="V125" s="172"/>
      <c r="W125" s="4"/>
      <c r="X125" s="4"/>
      <c r="Y125" s="4"/>
      <c r="Z125" s="4"/>
      <c r="AA125" s="4"/>
      <c r="AB125" s="4"/>
      <c r="AC125" s="4"/>
      <c r="AD125" s="3"/>
    </row>
    <row r="126" spans="1:30" s="1" customFormat="1" ht="18.75" x14ac:dyDescent="0.3">
      <c r="A126" s="2"/>
      <c r="B126" s="38"/>
      <c r="C126" s="38"/>
      <c r="D126" s="2"/>
      <c r="E126" s="2"/>
      <c r="F126" s="57"/>
      <c r="G126" s="171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57"/>
      <c r="V126" s="172"/>
      <c r="W126" s="2"/>
      <c r="X126" s="2"/>
      <c r="Y126" s="2"/>
      <c r="Z126" s="2"/>
      <c r="AA126" s="2"/>
      <c r="AB126" s="2"/>
      <c r="AC126" s="2"/>
      <c r="AD126" s="2"/>
    </row>
    <row r="127" spans="1:30" x14ac:dyDescent="0.25">
      <c r="A127" s="2"/>
      <c r="B127" s="16"/>
      <c r="C127" s="16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3"/>
    </row>
    <row r="128" spans="1:30" ht="15.75" x14ac:dyDescent="0.25">
      <c r="A128" s="2"/>
      <c r="B128" s="12"/>
      <c r="C128" s="12"/>
      <c r="D128" s="12"/>
      <c r="E128" s="18"/>
      <c r="F128" s="19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3"/>
    </row>
    <row r="129" spans="1:30" x14ac:dyDescent="0.25">
      <c r="A129" s="2"/>
      <c r="B129" s="20"/>
      <c r="C129" s="20" t="s">
        <v>23</v>
      </c>
      <c r="E129" s="21" t="s">
        <v>6</v>
      </c>
      <c r="F129" s="20" t="s">
        <v>22</v>
      </c>
      <c r="H129" s="4"/>
      <c r="I129" s="21"/>
      <c r="J129" s="22"/>
      <c r="K129" s="22"/>
      <c r="M129" s="20" t="s">
        <v>59</v>
      </c>
      <c r="N129" s="4" t="s">
        <v>0</v>
      </c>
      <c r="O129" s="4"/>
      <c r="P129" s="4"/>
      <c r="Q129" s="4"/>
      <c r="R129" s="4"/>
      <c r="U129" s="4"/>
      <c r="W129" s="42" t="s">
        <v>21</v>
      </c>
      <c r="X129" s="42" t="s">
        <v>22</v>
      </c>
      <c r="Y129" s="20" t="s">
        <v>21</v>
      </c>
      <c r="Z129" s="20" t="s">
        <v>22</v>
      </c>
      <c r="AA129" s="17" t="s">
        <v>7</v>
      </c>
      <c r="AB129" s="4"/>
      <c r="AC129" s="4"/>
      <c r="AD129" s="3"/>
    </row>
    <row r="130" spans="1:30" x14ac:dyDescent="0.25">
      <c r="A130" s="2"/>
      <c r="B130" s="24">
        <v>1E-3</v>
      </c>
      <c r="C130" s="37">
        <f t="shared" ref="C130:C141" si="0" xml:space="preserve"> (B130-12)*15</f>
        <v>-179.98500000000001</v>
      </c>
      <c r="E130" s="41">
        <f t="shared" ref="E130:E154" si="1">COS(RADIANS($N$31))*COS(RADIANS(C130))*COS(RADIANS($J$22))+SIN(RADIANS($N$31))*SIN(RADIANS($J$22))</f>
        <v>-0.66579376202311968</v>
      </c>
      <c r="F130" s="23">
        <f t="shared" ref="F130:F154" si="2">DEGREES(ASIN(E130))</f>
        <v>-41.743249497550345</v>
      </c>
      <c r="H130" s="4"/>
      <c r="I130" s="41"/>
      <c r="J130" s="41"/>
      <c r="K130" s="41"/>
      <c r="M130" s="118">
        <f t="shared" ref="M130:M154" si="3">DEGREES(ACOS((SIN(RADIANS($N$31))-SIN(RADIANS($J$22))*SIN(RADIANS(F130)))/(COS(RADIANS($J$22))*COS(RADIANS(F130)))))</f>
        <v>2.0060689906361728E-2</v>
      </c>
      <c r="N130" s="119">
        <f t="shared" ref="N130:N154" si="4">IF(C130&gt;0,360-M130,M130)</f>
        <v>2.0060689906361728E-2</v>
      </c>
      <c r="O130" s="24"/>
      <c r="P130" s="24"/>
      <c r="Q130" s="4"/>
      <c r="R130" s="4"/>
      <c r="U130" s="4"/>
      <c r="W130" s="36">
        <f>N26</f>
        <v>321.7812122821735</v>
      </c>
      <c r="X130" s="36">
        <f>N22</f>
        <v>-35.59135157085268</v>
      </c>
      <c r="Y130" s="94">
        <f t="shared" ref="Y130:Y154" si="5">N130</f>
        <v>2.0060689906361728E-2</v>
      </c>
      <c r="Z130" s="95">
        <f t="shared" ref="Z130:Z154" si="6">F130</f>
        <v>-41.743249497550345</v>
      </c>
      <c r="AA130" s="37">
        <v>0</v>
      </c>
      <c r="AB130" s="4"/>
      <c r="AC130" s="4"/>
      <c r="AD130" s="3"/>
    </row>
    <row r="131" spans="1:30" x14ac:dyDescent="0.25">
      <c r="A131" s="2"/>
      <c r="B131" s="4">
        <v>1</v>
      </c>
      <c r="C131" s="37">
        <f t="shared" si="0"/>
        <v>-165</v>
      </c>
      <c r="E131" s="41">
        <f t="shared" si="1"/>
        <v>-0.64486038139414625</v>
      </c>
      <c r="F131" s="23">
        <f t="shared" si="2"/>
        <v>-40.155208153648644</v>
      </c>
      <c r="H131" s="4"/>
      <c r="I131" s="41"/>
      <c r="J131" s="41"/>
      <c r="K131" s="41"/>
      <c r="M131" s="118">
        <f t="shared" si="3"/>
        <v>19.749761518576683</v>
      </c>
      <c r="N131" s="119">
        <f t="shared" si="4"/>
        <v>19.749761518576683</v>
      </c>
      <c r="O131" s="4"/>
      <c r="P131" s="4"/>
      <c r="Q131" s="4"/>
      <c r="R131" s="4"/>
      <c r="U131" s="4"/>
      <c r="W131" s="41"/>
      <c r="X131" s="41"/>
      <c r="Y131" s="94">
        <f t="shared" si="5"/>
        <v>19.749761518576683</v>
      </c>
      <c r="Z131" s="95">
        <f t="shared" si="6"/>
        <v>-40.155208153648644</v>
      </c>
      <c r="AA131" s="37">
        <v>1</v>
      </c>
      <c r="AB131" s="4"/>
      <c r="AC131" s="4"/>
      <c r="AD131" s="3"/>
    </row>
    <row r="132" spans="1:30" x14ac:dyDescent="0.25">
      <c r="A132" s="2"/>
      <c r="B132" s="24">
        <v>2</v>
      </c>
      <c r="C132" s="37">
        <f t="shared" si="0"/>
        <v>-150</v>
      </c>
      <c r="E132" s="41">
        <f t="shared" si="1"/>
        <v>-0.58348675307767117</v>
      </c>
      <c r="F132" s="23">
        <f t="shared" si="2"/>
        <v>-35.69615784061714</v>
      </c>
      <c r="H132" s="4"/>
      <c r="I132" s="41"/>
      <c r="J132" s="41"/>
      <c r="K132" s="41"/>
      <c r="M132" s="118">
        <f t="shared" si="3"/>
        <v>37.905219984571865</v>
      </c>
      <c r="N132" s="119">
        <f t="shared" si="4"/>
        <v>37.905219984571865</v>
      </c>
      <c r="O132" s="4"/>
      <c r="P132" s="4"/>
      <c r="Q132" s="4"/>
      <c r="R132" s="4"/>
      <c r="U132" s="4"/>
      <c r="W132" s="41"/>
      <c r="X132" s="41"/>
      <c r="Y132" s="94">
        <f t="shared" si="5"/>
        <v>37.905219984571865</v>
      </c>
      <c r="Z132" s="95">
        <f t="shared" si="6"/>
        <v>-35.69615784061714</v>
      </c>
      <c r="AA132" s="37">
        <v>2</v>
      </c>
      <c r="AB132" s="4"/>
      <c r="AC132" s="4"/>
      <c r="AD132" s="3"/>
    </row>
    <row r="133" spans="1:30" x14ac:dyDescent="0.25">
      <c r="A133" s="2"/>
      <c r="B133" s="4">
        <v>3</v>
      </c>
      <c r="C133" s="37">
        <f t="shared" si="0"/>
        <v>-135</v>
      </c>
      <c r="E133" s="41">
        <f t="shared" si="1"/>
        <v>-0.48585540947212058</v>
      </c>
      <c r="F133" s="23">
        <f t="shared" si="2"/>
        <v>-29.068531720565392</v>
      </c>
      <c r="H133" s="4"/>
      <c r="I133" s="41"/>
      <c r="J133" s="41"/>
      <c r="K133" s="41"/>
      <c r="M133" s="118">
        <f t="shared" si="3"/>
        <v>53.831457023553227</v>
      </c>
      <c r="N133" s="119">
        <f t="shared" si="4"/>
        <v>53.831457023553227</v>
      </c>
      <c r="O133" s="4"/>
      <c r="P133" s="4"/>
      <c r="Q133" s="4"/>
      <c r="R133" s="4"/>
      <c r="U133" s="4"/>
      <c r="W133" s="41"/>
      <c r="X133" s="41"/>
      <c r="Y133" s="94">
        <f t="shared" si="5"/>
        <v>53.831457023553227</v>
      </c>
      <c r="Z133" s="95">
        <f t="shared" si="6"/>
        <v>-29.068531720565392</v>
      </c>
      <c r="AA133" s="37">
        <v>3</v>
      </c>
      <c r="AB133" s="4"/>
      <c r="AC133" s="4"/>
      <c r="AD133" s="3"/>
    </row>
    <row r="134" spans="1:30" x14ac:dyDescent="0.25">
      <c r="A134" s="2"/>
      <c r="B134" s="24">
        <v>4</v>
      </c>
      <c r="C134" s="37">
        <f t="shared" si="0"/>
        <v>-120</v>
      </c>
      <c r="E134" s="41">
        <f t="shared" si="1"/>
        <v>-0.35861976530078898</v>
      </c>
      <c r="F134" s="23">
        <f t="shared" si="2"/>
        <v>-21.015455258898406</v>
      </c>
      <c r="H134" s="4"/>
      <c r="I134" s="41"/>
      <c r="J134" s="41"/>
      <c r="K134" s="41"/>
      <c r="M134" s="118">
        <f t="shared" si="3"/>
        <v>67.782579479749401</v>
      </c>
      <c r="N134" s="119">
        <f t="shared" si="4"/>
        <v>67.782579479749401</v>
      </c>
      <c r="O134" s="4"/>
      <c r="P134" s="4"/>
      <c r="Q134" s="4"/>
      <c r="R134" s="4"/>
      <c r="U134" s="4"/>
      <c r="W134" s="41"/>
      <c r="X134" s="41"/>
      <c r="Y134" s="94">
        <f t="shared" si="5"/>
        <v>67.782579479749401</v>
      </c>
      <c r="Z134" s="95">
        <f t="shared" si="6"/>
        <v>-21.015455258898406</v>
      </c>
      <c r="AA134" s="37">
        <v>4</v>
      </c>
      <c r="AB134" s="4"/>
      <c r="AC134" s="4"/>
      <c r="AD134" s="3"/>
    </row>
    <row r="135" spans="1:30" x14ac:dyDescent="0.25">
      <c r="A135" s="2"/>
      <c r="B135" s="4">
        <v>5</v>
      </c>
      <c r="C135" s="37">
        <f t="shared" si="0"/>
        <v>-105</v>
      </c>
      <c r="E135" s="41">
        <f t="shared" si="1"/>
        <v>-0.2104507194471093</v>
      </c>
      <c r="F135" s="23">
        <f t="shared" si="2"/>
        <v>-12.148766855641696</v>
      </c>
      <c r="H135" s="4"/>
      <c r="I135" s="41"/>
      <c r="J135" s="41"/>
      <c r="K135" s="41"/>
      <c r="M135" s="118">
        <f t="shared" si="3"/>
        <v>80.382798099860423</v>
      </c>
      <c r="N135" s="119">
        <f t="shared" si="4"/>
        <v>80.382798099860423</v>
      </c>
      <c r="O135" s="4"/>
      <c r="P135" s="4"/>
      <c r="Q135" s="4"/>
      <c r="R135" s="4"/>
      <c r="U135" s="4"/>
      <c r="W135" s="41"/>
      <c r="X135" s="41"/>
      <c r="Y135" s="94">
        <f t="shared" si="5"/>
        <v>80.382798099860423</v>
      </c>
      <c r="Z135" s="95">
        <f t="shared" si="6"/>
        <v>-12.148766855641696</v>
      </c>
      <c r="AA135" s="37">
        <v>5</v>
      </c>
      <c r="AB135" s="4"/>
      <c r="AC135" s="4"/>
      <c r="AD135" s="3"/>
    </row>
    <row r="136" spans="1:30" x14ac:dyDescent="0.25">
      <c r="A136" s="2"/>
      <c r="B136" s="24">
        <v>6.0010000000000003</v>
      </c>
      <c r="C136" s="37">
        <f t="shared" si="0"/>
        <v>-89.984999999999999</v>
      </c>
      <c r="E136" s="41">
        <f t="shared" si="1"/>
        <v>-5.1284911587317732E-2</v>
      </c>
      <c r="F136" s="23">
        <f t="shared" si="2"/>
        <v>-2.9396985857865725</v>
      </c>
      <c r="H136" s="4"/>
      <c r="I136" s="41"/>
      <c r="J136" s="41"/>
      <c r="K136" s="41"/>
      <c r="M136" s="118">
        <f t="shared" si="3"/>
        <v>92.318414040866173</v>
      </c>
      <c r="N136" s="119">
        <f t="shared" si="4"/>
        <v>92.318414040866173</v>
      </c>
      <c r="O136" s="4"/>
      <c r="P136" s="4"/>
      <c r="Q136" s="4"/>
      <c r="R136" s="4"/>
      <c r="U136" s="4"/>
      <c r="W136" s="41"/>
      <c r="X136" s="41"/>
      <c r="Y136" s="94">
        <f t="shared" si="5"/>
        <v>92.318414040866173</v>
      </c>
      <c r="Z136" s="95">
        <f t="shared" si="6"/>
        <v>-2.9396985857865725</v>
      </c>
      <c r="AA136" s="37">
        <v>6</v>
      </c>
      <c r="AB136" s="4"/>
      <c r="AC136" s="4"/>
      <c r="AD136" s="3"/>
    </row>
    <row r="137" spans="1:30" x14ac:dyDescent="0.25">
      <c r="A137" s="2"/>
      <c r="B137" s="4">
        <v>7</v>
      </c>
      <c r="C137" s="37">
        <f t="shared" si="0"/>
        <v>-75</v>
      </c>
      <c r="E137" s="41">
        <f t="shared" si="1"/>
        <v>0.10755922439694225</v>
      </c>
      <c r="F137" s="23">
        <f t="shared" si="2"/>
        <v>6.1746345758457091</v>
      </c>
      <c r="H137" s="4"/>
      <c r="I137" s="41"/>
      <c r="J137" s="41"/>
      <c r="K137" s="41"/>
      <c r="M137" s="118">
        <f t="shared" si="3"/>
        <v>104.18969384398447</v>
      </c>
      <c r="N137" s="119">
        <f t="shared" si="4"/>
        <v>104.18969384398447</v>
      </c>
      <c r="O137" s="4"/>
      <c r="P137" s="4"/>
      <c r="Q137" s="4"/>
      <c r="R137" s="4"/>
      <c r="U137" s="4"/>
      <c r="W137" s="41"/>
      <c r="X137" s="41"/>
      <c r="Y137" s="94">
        <f t="shared" si="5"/>
        <v>104.18969384398447</v>
      </c>
      <c r="Z137" s="95">
        <f t="shared" si="6"/>
        <v>6.1746345758457091</v>
      </c>
      <c r="AA137" s="37">
        <v>7</v>
      </c>
      <c r="AB137" s="4"/>
      <c r="AC137" s="4"/>
      <c r="AD137" s="3"/>
    </row>
    <row r="138" spans="1:30" ht="18.75" x14ac:dyDescent="0.3">
      <c r="A138" s="2"/>
      <c r="B138" s="24">
        <v>8</v>
      </c>
      <c r="C138" s="37">
        <f t="shared" si="0"/>
        <v>-60</v>
      </c>
      <c r="E138" s="41">
        <f t="shared" si="1"/>
        <v>0.25572827025062228</v>
      </c>
      <c r="F138" s="23">
        <f t="shared" si="2"/>
        <v>14.816742859775683</v>
      </c>
      <c r="H138" s="4"/>
      <c r="I138" s="41"/>
      <c r="J138" s="41"/>
      <c r="K138" s="41"/>
      <c r="M138" s="118">
        <f t="shared" si="3"/>
        <v>116.63235822276138</v>
      </c>
      <c r="N138" s="119">
        <f t="shared" si="4"/>
        <v>116.63235822276138</v>
      </c>
      <c r="O138" s="4"/>
      <c r="P138" s="4"/>
      <c r="Q138" s="155" t="s">
        <v>85</v>
      </c>
      <c r="R138" s="156"/>
      <c r="S138" s="156"/>
      <c r="T138" s="156"/>
      <c r="U138" s="156"/>
      <c r="W138" s="41"/>
      <c r="X138" s="41"/>
      <c r="Y138" s="94">
        <f t="shared" si="5"/>
        <v>116.63235822276138</v>
      </c>
      <c r="Z138" s="95">
        <f t="shared" si="6"/>
        <v>14.816742859775683</v>
      </c>
      <c r="AA138" s="37">
        <v>8</v>
      </c>
      <c r="AB138" s="4"/>
      <c r="AC138" s="4"/>
      <c r="AD138" s="3"/>
    </row>
    <row r="139" spans="1:30" x14ac:dyDescent="0.25">
      <c r="A139" s="2"/>
      <c r="B139" s="4">
        <v>9</v>
      </c>
      <c r="C139" s="37">
        <f t="shared" si="0"/>
        <v>-45</v>
      </c>
      <c r="E139" s="41">
        <f t="shared" si="1"/>
        <v>0.38296391442195371</v>
      </c>
      <c r="F139" s="23">
        <f t="shared" si="2"/>
        <v>22.517395610941481</v>
      </c>
      <c r="H139" s="4"/>
      <c r="I139" s="41"/>
      <c r="J139" s="41"/>
      <c r="K139" s="41"/>
      <c r="M139" s="118">
        <f t="shared" si="3"/>
        <v>130.19697185450025</v>
      </c>
      <c r="N139" s="119">
        <f t="shared" si="4"/>
        <v>130.19697185450025</v>
      </c>
      <c r="O139" s="4"/>
      <c r="P139" s="4"/>
      <c r="Q139" s="156"/>
      <c r="R139" s="156"/>
      <c r="S139" s="157"/>
      <c r="T139" s="156"/>
      <c r="U139" s="156"/>
      <c r="W139" s="41"/>
      <c r="X139" s="41"/>
      <c r="Y139" s="94">
        <f t="shared" si="5"/>
        <v>130.19697185450025</v>
      </c>
      <c r="Z139" s="95">
        <f t="shared" si="6"/>
        <v>22.517395610941481</v>
      </c>
      <c r="AA139" s="37">
        <v>9</v>
      </c>
      <c r="AB139" s="4"/>
      <c r="AC139" s="4"/>
      <c r="AD139" s="3"/>
    </row>
    <row r="140" spans="1:30" x14ac:dyDescent="0.25">
      <c r="A140" s="2"/>
      <c r="B140" s="24">
        <v>10</v>
      </c>
      <c r="C140" s="37">
        <f t="shared" si="0"/>
        <v>-30</v>
      </c>
      <c r="E140" s="41">
        <f t="shared" si="1"/>
        <v>0.48059525802750425</v>
      </c>
      <c r="F140" s="23">
        <f t="shared" si="2"/>
        <v>28.72428647108735</v>
      </c>
      <c r="H140" s="4"/>
      <c r="I140" s="41"/>
      <c r="J140" s="41"/>
      <c r="K140" s="41"/>
      <c r="M140" s="118">
        <f t="shared" si="3"/>
        <v>145.3232111051573</v>
      </c>
      <c r="N140" s="119">
        <f t="shared" si="4"/>
        <v>145.3232111051573</v>
      </c>
      <c r="O140" s="4"/>
      <c r="P140" s="4"/>
      <c r="Q140" s="158" t="s">
        <v>79</v>
      </c>
      <c r="R140" s="156"/>
      <c r="S140" s="156"/>
      <c r="T140" s="159">
        <f>J43-J30</f>
        <v>-9.9815918103236481</v>
      </c>
      <c r="U140" s="156" t="s">
        <v>7</v>
      </c>
      <c r="W140" s="41"/>
      <c r="X140" s="41"/>
      <c r="Y140" s="94">
        <f t="shared" si="5"/>
        <v>145.3232111051573</v>
      </c>
      <c r="Z140" s="95">
        <f t="shared" si="6"/>
        <v>28.72428647108735</v>
      </c>
      <c r="AA140" s="37">
        <v>10</v>
      </c>
      <c r="AB140" s="4"/>
      <c r="AC140" s="4"/>
      <c r="AD140" s="3"/>
    </row>
    <row r="141" spans="1:30" x14ac:dyDescent="0.25">
      <c r="A141" s="2"/>
      <c r="B141" s="4">
        <v>11</v>
      </c>
      <c r="C141" s="37">
        <f t="shared" si="0"/>
        <v>-15</v>
      </c>
      <c r="E141" s="41">
        <f t="shared" si="1"/>
        <v>0.54196888634397944</v>
      </c>
      <c r="F141" s="23">
        <f t="shared" si="2"/>
        <v>32.817770312442704</v>
      </c>
      <c r="H141" s="4"/>
      <c r="I141" s="41"/>
      <c r="J141" s="41"/>
      <c r="K141" s="41"/>
      <c r="M141" s="118">
        <f t="shared" si="3"/>
        <v>162.10251979018295</v>
      </c>
      <c r="N141" s="119">
        <f t="shared" si="4"/>
        <v>162.10251979018295</v>
      </c>
      <c r="O141" s="4"/>
      <c r="P141" s="4"/>
      <c r="Q141" s="160" t="s">
        <v>53</v>
      </c>
      <c r="R141" s="156"/>
      <c r="S141" s="156"/>
      <c r="T141" s="161">
        <f>T140*15</f>
        <v>-149.72387715485473</v>
      </c>
      <c r="U141" s="156" t="s">
        <v>8</v>
      </c>
      <c r="W141" s="41"/>
      <c r="X141" s="41"/>
      <c r="Y141" s="94">
        <f t="shared" si="5"/>
        <v>162.10251979018295</v>
      </c>
      <c r="Z141" s="95">
        <f t="shared" si="6"/>
        <v>32.817770312442704</v>
      </c>
      <c r="AA141" s="37">
        <v>11</v>
      </c>
      <c r="AB141" s="4"/>
      <c r="AC141" s="4"/>
      <c r="AD141" s="3"/>
    </row>
    <row r="142" spans="1:30" x14ac:dyDescent="0.25">
      <c r="A142" s="2"/>
      <c r="B142" s="24">
        <v>12.000999999999999</v>
      </c>
      <c r="C142" s="118">
        <f>0.0001</f>
        <v>1E-4</v>
      </c>
      <c r="E142" s="41">
        <f t="shared" si="1"/>
        <v>0.56290228802539211</v>
      </c>
      <c r="F142" s="23">
        <f t="shared" si="2"/>
        <v>34.256748885695828</v>
      </c>
      <c r="H142" s="4"/>
      <c r="I142" s="41"/>
      <c r="J142" s="41"/>
      <c r="K142" s="41"/>
      <c r="M142" s="118">
        <f t="shared" si="3"/>
        <v>179.99987927024782</v>
      </c>
      <c r="N142" s="119">
        <f t="shared" si="4"/>
        <v>180.00012072975218</v>
      </c>
      <c r="O142" s="4"/>
      <c r="P142" s="4"/>
      <c r="Q142" s="160"/>
      <c r="R142" s="156"/>
      <c r="S142" s="156"/>
      <c r="T142" s="156"/>
      <c r="U142" s="156"/>
      <c r="W142" s="41"/>
      <c r="X142" s="41"/>
      <c r="Y142" s="94">
        <f t="shared" si="5"/>
        <v>180.00012072975218</v>
      </c>
      <c r="Z142" s="95">
        <f t="shared" si="6"/>
        <v>34.256748885695828</v>
      </c>
      <c r="AA142" s="37">
        <v>12</v>
      </c>
      <c r="AB142" s="4"/>
      <c r="AC142" s="4"/>
      <c r="AD142" s="3"/>
    </row>
    <row r="143" spans="1:30" x14ac:dyDescent="0.25">
      <c r="A143" s="2"/>
      <c r="B143" s="4">
        <v>13</v>
      </c>
      <c r="C143" s="37">
        <f t="shared" ref="C143:C154" si="7" xml:space="preserve"> (B143-12)*15</f>
        <v>15</v>
      </c>
      <c r="E143" s="41">
        <f t="shared" si="1"/>
        <v>0.54196888634397944</v>
      </c>
      <c r="F143" s="23">
        <f t="shared" si="2"/>
        <v>32.817770312442704</v>
      </c>
      <c r="H143" s="4"/>
      <c r="I143" s="41"/>
      <c r="J143" s="41"/>
      <c r="K143" s="41"/>
      <c r="M143" s="118">
        <f t="shared" si="3"/>
        <v>162.10251979018295</v>
      </c>
      <c r="N143" s="119">
        <f t="shared" si="4"/>
        <v>197.89748020981705</v>
      </c>
      <c r="O143" s="4"/>
      <c r="P143" s="4"/>
      <c r="Q143" s="156"/>
      <c r="R143" s="156"/>
      <c r="S143" s="156"/>
      <c r="T143" s="162">
        <f>IF(T145&gt;180,T145-360,T145)</f>
        <v>-149.72387715485473</v>
      </c>
      <c r="U143" s="158"/>
      <c r="W143" s="41"/>
      <c r="X143" s="41"/>
      <c r="Y143" s="94">
        <f t="shared" si="5"/>
        <v>197.89748020981705</v>
      </c>
      <c r="Z143" s="95">
        <f t="shared" si="6"/>
        <v>32.817770312442704</v>
      </c>
      <c r="AA143" s="37">
        <v>13</v>
      </c>
      <c r="AB143" s="4"/>
      <c r="AC143" s="4"/>
      <c r="AD143" s="3"/>
    </row>
    <row r="144" spans="1:30" x14ac:dyDescent="0.25">
      <c r="A144" s="2"/>
      <c r="B144" s="24">
        <v>14</v>
      </c>
      <c r="C144" s="37">
        <f t="shared" si="7"/>
        <v>30</v>
      </c>
      <c r="E144" s="41">
        <f t="shared" si="1"/>
        <v>0.48059525802750425</v>
      </c>
      <c r="F144" s="23">
        <f t="shared" si="2"/>
        <v>28.72428647108735</v>
      </c>
      <c r="H144" s="4"/>
      <c r="I144" s="41"/>
      <c r="J144" s="41"/>
      <c r="K144" s="41"/>
      <c r="M144" s="118">
        <f t="shared" si="3"/>
        <v>145.3232111051573</v>
      </c>
      <c r="N144" s="119">
        <f t="shared" si="4"/>
        <v>214.6767888948427</v>
      </c>
      <c r="O144" s="4"/>
      <c r="P144" s="4"/>
      <c r="Q144" s="156"/>
      <c r="R144" s="156"/>
      <c r="S144" s="163"/>
      <c r="T144" s="160"/>
      <c r="U144" s="158"/>
      <c r="W144" s="41"/>
      <c r="X144" s="41"/>
      <c r="Y144" s="94">
        <f t="shared" si="5"/>
        <v>214.6767888948427</v>
      </c>
      <c r="Z144" s="95">
        <f t="shared" si="6"/>
        <v>28.72428647108735</v>
      </c>
      <c r="AA144" s="37">
        <v>14</v>
      </c>
      <c r="AB144" s="4"/>
      <c r="AC144" s="4"/>
      <c r="AD144" s="3"/>
    </row>
    <row r="145" spans="1:30" x14ac:dyDescent="0.25">
      <c r="A145" s="2"/>
      <c r="B145" s="4">
        <v>15</v>
      </c>
      <c r="C145" s="37">
        <f t="shared" si="7"/>
        <v>45</v>
      </c>
      <c r="E145" s="41">
        <f t="shared" si="1"/>
        <v>0.38296391442195371</v>
      </c>
      <c r="F145" s="23">
        <f t="shared" si="2"/>
        <v>22.517395610941481</v>
      </c>
      <c r="H145" s="4"/>
      <c r="I145" s="41"/>
      <c r="J145" s="41"/>
      <c r="K145" s="41"/>
      <c r="M145" s="118">
        <f t="shared" si="3"/>
        <v>130.19697185450025</v>
      </c>
      <c r="N145" s="119">
        <f t="shared" si="4"/>
        <v>229.80302814549975</v>
      </c>
      <c r="O145" s="4"/>
      <c r="P145" s="4"/>
      <c r="Q145" s="156"/>
      <c r="R145" s="156"/>
      <c r="S145" s="160" t="s">
        <v>80</v>
      </c>
      <c r="T145" s="164">
        <f>H96+T141</f>
        <v>-149.72387715485473</v>
      </c>
      <c r="U145" s="158" t="s">
        <v>8</v>
      </c>
      <c r="W145" s="41"/>
      <c r="X145" s="41"/>
      <c r="Y145" s="94">
        <f t="shared" si="5"/>
        <v>229.80302814549975</v>
      </c>
      <c r="Z145" s="95">
        <f t="shared" si="6"/>
        <v>22.517395610941481</v>
      </c>
      <c r="AA145" s="37">
        <v>15</v>
      </c>
      <c r="AB145" s="4"/>
      <c r="AC145" s="4"/>
      <c r="AD145" s="3"/>
    </row>
    <row r="146" spans="1:30" x14ac:dyDescent="0.25">
      <c r="A146" s="2"/>
      <c r="B146" s="24">
        <v>16</v>
      </c>
      <c r="C146" s="37">
        <f t="shared" si="7"/>
        <v>60</v>
      </c>
      <c r="E146" s="41">
        <f t="shared" si="1"/>
        <v>0.25572827025062228</v>
      </c>
      <c r="F146" s="23">
        <f t="shared" si="2"/>
        <v>14.816742859775683</v>
      </c>
      <c r="H146" s="4"/>
      <c r="I146" s="41"/>
      <c r="J146" s="41"/>
      <c r="K146" s="41"/>
      <c r="M146" s="118">
        <f t="shared" si="3"/>
        <v>116.63235822276138</v>
      </c>
      <c r="N146" s="119">
        <f t="shared" si="4"/>
        <v>243.36764177723862</v>
      </c>
      <c r="O146" s="4"/>
      <c r="P146" s="4"/>
      <c r="Q146" s="156"/>
      <c r="R146" s="156"/>
      <c r="S146" s="160" t="s">
        <v>81</v>
      </c>
      <c r="T146" s="164">
        <f>N31</f>
        <v>-3.7432511142393099</v>
      </c>
      <c r="U146" s="158" t="s">
        <v>8</v>
      </c>
      <c r="W146" s="41"/>
      <c r="X146" s="41"/>
      <c r="Y146" s="94">
        <f t="shared" si="5"/>
        <v>243.36764177723862</v>
      </c>
      <c r="Z146" s="95">
        <f t="shared" si="6"/>
        <v>14.816742859775683</v>
      </c>
      <c r="AA146" s="37">
        <v>16</v>
      </c>
      <c r="AB146" s="4"/>
      <c r="AC146" s="4"/>
      <c r="AD146" s="3"/>
    </row>
    <row r="147" spans="1:30" x14ac:dyDescent="0.25">
      <c r="A147" s="2"/>
      <c r="B147" s="4">
        <v>17</v>
      </c>
      <c r="C147" s="37">
        <f t="shared" si="7"/>
        <v>75</v>
      </c>
      <c r="E147" s="41">
        <f t="shared" si="1"/>
        <v>0.10755922439694225</v>
      </c>
      <c r="F147" s="23">
        <f t="shared" si="2"/>
        <v>6.1746345758457091</v>
      </c>
      <c r="H147" s="4"/>
      <c r="I147" s="41"/>
      <c r="J147" s="41"/>
      <c r="K147" s="41"/>
      <c r="M147" s="118">
        <f t="shared" si="3"/>
        <v>104.18969384398447</v>
      </c>
      <c r="N147" s="119">
        <f t="shared" si="4"/>
        <v>255.81030615601554</v>
      </c>
      <c r="O147" s="4"/>
      <c r="P147" s="4"/>
      <c r="Q147" s="156"/>
      <c r="R147" s="156"/>
      <c r="S147" s="156"/>
      <c r="T147" s="165"/>
      <c r="U147" s="165"/>
      <c r="W147" s="41"/>
      <c r="X147" s="41"/>
      <c r="Y147" s="94">
        <f t="shared" si="5"/>
        <v>255.81030615601554</v>
      </c>
      <c r="Z147" s="95">
        <f t="shared" si="6"/>
        <v>6.1746345758457091</v>
      </c>
      <c r="AA147" s="37">
        <v>17</v>
      </c>
      <c r="AB147" s="4"/>
      <c r="AC147" s="4"/>
      <c r="AD147" s="3"/>
    </row>
    <row r="148" spans="1:30" x14ac:dyDescent="0.25">
      <c r="A148" s="2"/>
      <c r="B148" s="24">
        <v>18.001000000000001</v>
      </c>
      <c r="C148" s="37">
        <f t="shared" si="7"/>
        <v>90.015000000000015</v>
      </c>
      <c r="E148" s="41">
        <f t="shared" si="1"/>
        <v>-5.1606583462849284E-2</v>
      </c>
      <c r="F148" s="23">
        <f t="shared" si="2"/>
        <v>-2.9581534648441585</v>
      </c>
      <c r="H148" s="4"/>
      <c r="I148" s="41"/>
      <c r="J148" s="41"/>
      <c r="K148" s="41"/>
      <c r="M148" s="118">
        <f t="shared" si="3"/>
        <v>92.294812011370581</v>
      </c>
      <c r="N148" s="119">
        <f t="shared" si="4"/>
        <v>267.7051879886294</v>
      </c>
      <c r="O148" s="4"/>
      <c r="P148" s="4"/>
      <c r="Q148" s="156"/>
      <c r="R148" s="156"/>
      <c r="S148" s="156"/>
      <c r="T148" s="156"/>
      <c r="U148" s="156"/>
      <c r="W148" s="41"/>
      <c r="X148" s="41"/>
      <c r="Y148" s="94">
        <f t="shared" si="5"/>
        <v>267.7051879886294</v>
      </c>
      <c r="Z148" s="95">
        <f t="shared" si="6"/>
        <v>-2.9581534648441585</v>
      </c>
      <c r="AA148" s="37">
        <v>18</v>
      </c>
      <c r="AB148" s="4"/>
      <c r="AC148" s="4"/>
      <c r="AD148" s="3"/>
    </row>
    <row r="149" spans="1:30" x14ac:dyDescent="0.25">
      <c r="A149" s="2"/>
      <c r="B149" s="4">
        <v>19</v>
      </c>
      <c r="C149" s="37">
        <f t="shared" si="7"/>
        <v>105</v>
      </c>
      <c r="E149" s="41">
        <f t="shared" si="1"/>
        <v>-0.2104507194471093</v>
      </c>
      <c r="F149" s="23">
        <f t="shared" si="2"/>
        <v>-12.148766855641696</v>
      </c>
      <c r="H149" s="4"/>
      <c r="I149" s="41"/>
      <c r="J149" s="41"/>
      <c r="K149" s="41"/>
      <c r="M149" s="118">
        <f t="shared" si="3"/>
        <v>80.382798099860423</v>
      </c>
      <c r="N149" s="119">
        <f t="shared" si="4"/>
        <v>279.61720190013955</v>
      </c>
      <c r="O149" s="4"/>
      <c r="P149" s="4"/>
      <c r="Q149" s="156"/>
      <c r="R149" s="156"/>
      <c r="S149" s="166" t="s">
        <v>83</v>
      </c>
      <c r="T149" s="156"/>
      <c r="U149" s="167" t="s">
        <v>82</v>
      </c>
      <c r="W149" s="41"/>
      <c r="X149" s="41"/>
      <c r="Y149" s="94">
        <f t="shared" si="5"/>
        <v>279.61720190013955</v>
      </c>
      <c r="Z149" s="95">
        <f t="shared" si="6"/>
        <v>-12.148766855641696</v>
      </c>
      <c r="AA149" s="37">
        <v>19</v>
      </c>
      <c r="AB149" s="4"/>
      <c r="AC149" s="4"/>
      <c r="AD149" s="3"/>
    </row>
    <row r="150" spans="1:30" x14ac:dyDescent="0.25">
      <c r="A150" s="2"/>
      <c r="B150" s="24">
        <v>20</v>
      </c>
      <c r="C150" s="37">
        <f t="shared" si="7"/>
        <v>120</v>
      </c>
      <c r="E150" s="41">
        <f t="shared" si="1"/>
        <v>-0.35861976530078898</v>
      </c>
      <c r="F150" s="23">
        <f t="shared" si="2"/>
        <v>-21.015455258898406</v>
      </c>
      <c r="H150" s="4"/>
      <c r="I150" s="41"/>
      <c r="J150" s="41"/>
      <c r="K150" s="41"/>
      <c r="M150" s="118">
        <f t="shared" si="3"/>
        <v>67.782579479749401</v>
      </c>
      <c r="N150" s="119">
        <f t="shared" si="4"/>
        <v>292.21742052025058</v>
      </c>
      <c r="O150" s="4"/>
      <c r="P150" s="4"/>
      <c r="Q150" s="167" t="s">
        <v>86</v>
      </c>
      <c r="R150" s="156"/>
      <c r="S150" s="168">
        <f>T146</f>
        <v>-3.7432511142393099</v>
      </c>
      <c r="T150" s="156"/>
      <c r="U150" s="169">
        <f>T143</f>
        <v>-149.72387715485473</v>
      </c>
      <c r="W150" s="41"/>
      <c r="X150" s="41"/>
      <c r="Y150" s="94">
        <f t="shared" si="5"/>
        <v>292.21742052025058</v>
      </c>
      <c r="Z150" s="95">
        <f t="shared" si="6"/>
        <v>-21.015455258898406</v>
      </c>
      <c r="AA150" s="37">
        <v>20</v>
      </c>
      <c r="AB150" s="4"/>
      <c r="AC150" s="4"/>
      <c r="AD150" s="3"/>
    </row>
    <row r="151" spans="1:30" x14ac:dyDescent="0.25">
      <c r="A151" s="2"/>
      <c r="B151" s="4">
        <v>21</v>
      </c>
      <c r="C151" s="37">
        <f t="shared" si="7"/>
        <v>135</v>
      </c>
      <c r="E151" s="41">
        <f t="shared" si="1"/>
        <v>-0.48585540947212058</v>
      </c>
      <c r="F151" s="23">
        <f t="shared" si="2"/>
        <v>-29.068531720565392</v>
      </c>
      <c r="H151" s="4"/>
      <c r="I151" s="41"/>
      <c r="J151" s="41"/>
      <c r="K151" s="41"/>
      <c r="M151" s="118">
        <f t="shared" si="3"/>
        <v>53.831457023553227</v>
      </c>
      <c r="N151" s="119">
        <f t="shared" si="4"/>
        <v>306.16854297644676</v>
      </c>
      <c r="O151" s="4"/>
      <c r="P151" s="4"/>
      <c r="Q151" s="167" t="s">
        <v>84</v>
      </c>
      <c r="R151" s="156"/>
      <c r="S151" s="168">
        <f>J22</f>
        <v>52</v>
      </c>
      <c r="T151" s="156"/>
      <c r="U151" s="169">
        <f>J24</f>
        <v>9</v>
      </c>
      <c r="W151" s="41"/>
      <c r="X151" s="41"/>
      <c r="Y151" s="94">
        <f t="shared" si="5"/>
        <v>306.16854297644676</v>
      </c>
      <c r="Z151" s="95">
        <f t="shared" si="6"/>
        <v>-29.068531720565392</v>
      </c>
      <c r="AA151" s="37">
        <v>21</v>
      </c>
      <c r="AB151" s="4"/>
      <c r="AC151" s="4"/>
      <c r="AD151" s="3"/>
    </row>
    <row r="152" spans="1:30" x14ac:dyDescent="0.25">
      <c r="A152" s="2"/>
      <c r="B152" s="24">
        <v>22</v>
      </c>
      <c r="C152" s="37">
        <f t="shared" si="7"/>
        <v>150</v>
      </c>
      <c r="E152" s="41">
        <f t="shared" si="1"/>
        <v>-0.58348675307767117</v>
      </c>
      <c r="F152" s="23">
        <f t="shared" si="2"/>
        <v>-35.69615784061714</v>
      </c>
      <c r="H152" s="4"/>
      <c r="I152" s="41"/>
      <c r="J152" s="41"/>
      <c r="K152" s="41"/>
      <c r="M152" s="118">
        <f t="shared" si="3"/>
        <v>37.905219984571865</v>
      </c>
      <c r="N152" s="119">
        <f t="shared" si="4"/>
        <v>322.09478001542811</v>
      </c>
      <c r="O152" s="4"/>
      <c r="P152" s="4"/>
      <c r="Q152" s="4"/>
      <c r="R152" s="4"/>
      <c r="U152" s="4"/>
      <c r="W152" s="41"/>
      <c r="X152" s="41"/>
      <c r="Y152" s="94">
        <f t="shared" si="5"/>
        <v>322.09478001542811</v>
      </c>
      <c r="Z152" s="95">
        <f t="shared" si="6"/>
        <v>-35.69615784061714</v>
      </c>
      <c r="AA152" s="37">
        <v>22</v>
      </c>
      <c r="AB152" s="4"/>
      <c r="AC152" s="4"/>
      <c r="AD152" s="3"/>
    </row>
    <row r="153" spans="1:30" x14ac:dyDescent="0.25">
      <c r="A153" s="2"/>
      <c r="B153" s="4">
        <v>23</v>
      </c>
      <c r="C153" s="37">
        <f t="shared" si="7"/>
        <v>165</v>
      </c>
      <c r="E153" s="41">
        <f t="shared" si="1"/>
        <v>-0.64486038139414625</v>
      </c>
      <c r="F153" s="23">
        <f t="shared" si="2"/>
        <v>-40.155208153648644</v>
      </c>
      <c r="H153" s="4"/>
      <c r="I153" s="41"/>
      <c r="J153" s="41"/>
      <c r="K153" s="41"/>
      <c r="M153" s="118">
        <f t="shared" si="3"/>
        <v>19.749761518576683</v>
      </c>
      <c r="N153" s="119">
        <f t="shared" si="4"/>
        <v>340.25023848142331</v>
      </c>
      <c r="O153" s="4"/>
      <c r="P153" s="4"/>
      <c r="Q153" s="4"/>
      <c r="R153" s="4"/>
      <c r="U153" s="4"/>
      <c r="W153" s="41"/>
      <c r="X153" s="41"/>
      <c r="Y153" s="94">
        <f t="shared" si="5"/>
        <v>340.25023848142331</v>
      </c>
      <c r="Z153" s="95">
        <f t="shared" si="6"/>
        <v>-40.155208153648644</v>
      </c>
      <c r="AA153" s="37">
        <v>23</v>
      </c>
      <c r="AB153" s="4"/>
      <c r="AC153" s="4"/>
      <c r="AD153" s="3"/>
    </row>
    <row r="154" spans="1:30" x14ac:dyDescent="0.25">
      <c r="A154" s="2"/>
      <c r="B154" s="24">
        <v>23.998999999999999</v>
      </c>
      <c r="C154" s="37">
        <f t="shared" si="7"/>
        <v>179.98499999999999</v>
      </c>
      <c r="E154" s="41">
        <f t="shared" si="1"/>
        <v>-0.66579376202311968</v>
      </c>
      <c r="F154" s="23">
        <f t="shared" si="2"/>
        <v>-41.743249497550345</v>
      </c>
      <c r="H154" s="4"/>
      <c r="I154" s="41"/>
      <c r="J154" s="41"/>
      <c r="K154" s="41"/>
      <c r="M154" s="118">
        <f t="shared" si="3"/>
        <v>2.0060689906361728E-2</v>
      </c>
      <c r="N154" s="119">
        <f t="shared" si="4"/>
        <v>359.97993931009364</v>
      </c>
      <c r="O154" s="4"/>
      <c r="P154" s="4"/>
      <c r="Q154" s="4"/>
      <c r="R154" s="4"/>
      <c r="U154" s="4"/>
      <c r="W154" s="41"/>
      <c r="X154" s="41"/>
      <c r="Y154" s="94">
        <f t="shared" si="5"/>
        <v>359.97993931009364</v>
      </c>
      <c r="Z154" s="95">
        <f t="shared" si="6"/>
        <v>-41.743249497550345</v>
      </c>
      <c r="AA154" s="37">
        <v>24</v>
      </c>
      <c r="AB154" s="4"/>
      <c r="AC154" s="4"/>
      <c r="AD154" s="3"/>
    </row>
    <row r="155" spans="1:30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3"/>
    </row>
    <row r="156" spans="1:30" x14ac:dyDescent="0.25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x14ac:dyDescent="0.25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</sheetData>
  <sheetProtection password="B62D" sheet="1" objects="1" scenarios="1" selectLockedCells="1"/>
  <customSheetViews>
    <customSheetView guid="{84323158-D89D-41EC-B44C-042B5D648DB1}" scale="75" hiddenRows="1">
      <selection activeCell="D7" sqref="D7"/>
      <pageMargins left="0.7" right="0.7" top="0.78740157499999996" bottom="0.78740157499999996" header="0.3" footer="0.3"/>
      <pageSetup paperSize="9" orientation="portrait" r:id="rId1"/>
    </customSheetView>
  </customSheetViews>
  <pageMargins left="0.7" right="0.7" top="0.78740157499999996" bottom="0.78740157499999996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6" zoomScaleNormal="66" workbookViewId="0">
      <selection sqref="A1:AF46"/>
    </sheetView>
  </sheetViews>
  <sheetFormatPr baseColWidth="10" defaultRowHeight="15" x14ac:dyDescent="0.25"/>
  <sheetData/>
  <customSheetViews>
    <customSheetView guid="{84323158-D89D-41EC-B44C-042B5D648DB1}">
      <selection activeCell="C6" sqref="C6:R30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Ingo</dc:creator>
  <cp:lastModifiedBy>Ingo</cp:lastModifiedBy>
  <dcterms:created xsi:type="dcterms:W3CDTF">2013-05-05T12:35:49Z</dcterms:created>
  <dcterms:modified xsi:type="dcterms:W3CDTF">2018-03-11T12:14:33Z</dcterms:modified>
</cp:coreProperties>
</file>