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240" yWindow="120" windowWidth="28380" windowHeight="121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9" i="1" l="1"/>
  <c r="Q42" i="1" s="1"/>
  <c r="I10" i="1" l="1"/>
  <c r="I8" i="1"/>
  <c r="I85" i="1" l="1"/>
  <c r="E88" i="3"/>
  <c r="E86" i="3"/>
  <c r="D115" i="3" s="1"/>
  <c r="G6" i="3"/>
  <c r="B3" i="3"/>
  <c r="C16" i="3" s="1"/>
  <c r="E26" i="3" l="1"/>
  <c r="E27" i="3" s="1"/>
  <c r="E24" i="3"/>
  <c r="E20" i="3"/>
  <c r="C14" i="3"/>
  <c r="C18" i="3" s="1"/>
  <c r="G3" i="3"/>
  <c r="E33" i="3" l="1"/>
  <c r="E38" i="3" s="1"/>
  <c r="E30" i="3"/>
  <c r="E31" i="3" s="1"/>
  <c r="E40" i="3" l="1"/>
  <c r="E49" i="3" s="1"/>
  <c r="G4" i="3"/>
  <c r="F5" i="3" s="1"/>
  <c r="E44" i="3" l="1"/>
  <c r="E50" i="3"/>
  <c r="E52" i="3" s="1"/>
  <c r="E53" i="3" s="1"/>
  <c r="E95" i="3" s="1"/>
  <c r="E97" i="3" s="1"/>
  <c r="D112" i="3" s="1"/>
  <c r="D113" i="3" s="1"/>
  <c r="D116" i="3" s="1"/>
  <c r="E117" i="3" s="1"/>
  <c r="N17" i="1" s="1"/>
  <c r="G5" i="3"/>
  <c r="F8" i="3"/>
  <c r="G8" i="3" s="1"/>
  <c r="N16" i="1" l="1"/>
  <c r="E58" i="3"/>
  <c r="E70" i="3" s="1"/>
  <c r="E56" i="3"/>
  <c r="E66" i="3" s="1"/>
  <c r="E68" i="3" l="1"/>
  <c r="E74" i="3" s="1"/>
  <c r="E81" i="3" s="1"/>
  <c r="E83" i="3" l="1"/>
  <c r="E84" i="3" s="1"/>
  <c r="E76" i="3"/>
  <c r="E77" i="3" s="1"/>
  <c r="E78" i="3" s="1"/>
  <c r="E79" i="3" s="1"/>
  <c r="E128" i="3"/>
  <c r="E123" i="3"/>
  <c r="E103" i="3"/>
  <c r="E104" i="3" s="1"/>
  <c r="D105" i="3"/>
  <c r="M102" i="3"/>
  <c r="G101" i="3"/>
  <c r="M101" i="3"/>
  <c r="N102" i="3" s="1"/>
  <c r="D107" i="3" l="1"/>
  <c r="E108" i="3" s="1"/>
  <c r="D125" i="3"/>
  <c r="E126" i="3" s="1"/>
  <c r="N19" i="1" s="1"/>
  <c r="D120" i="3"/>
  <c r="E121" i="3" s="1"/>
  <c r="N18" i="1" s="1"/>
  <c r="B85" i="1" l="1"/>
  <c r="I44" i="1"/>
  <c r="B44" i="1"/>
  <c r="B42" i="1" l="1"/>
  <c r="I42" i="1" l="1"/>
  <c r="I47" i="1" s="1"/>
  <c r="B47" i="1"/>
  <c r="I83" i="1"/>
  <c r="I88" i="1" s="1"/>
  <c r="L34" i="1" s="1"/>
  <c r="B83" i="1"/>
  <c r="B88" i="1" s="1"/>
  <c r="E34" i="1" l="1"/>
  <c r="I49" i="1"/>
  <c r="I51" i="1" s="1"/>
  <c r="I52" i="1" s="1"/>
  <c r="H65" i="1" s="1"/>
  <c r="L66" i="1" s="1"/>
  <c r="I34" i="1"/>
  <c r="I90" i="1"/>
  <c r="I92" i="1" s="1"/>
  <c r="I93" i="1" s="1"/>
  <c r="H106" i="1" s="1"/>
  <c r="B90" i="1"/>
  <c r="B92" i="1" s="1"/>
  <c r="B93" i="1" s="1"/>
  <c r="A106" i="1" s="1"/>
  <c r="E107" i="1" s="1"/>
  <c r="B6" i="2"/>
  <c r="C6" i="2" s="1"/>
  <c r="B10" i="2"/>
  <c r="I55" i="1" l="1"/>
  <c r="H70" i="1" s="1"/>
  <c r="L70" i="1" s="1"/>
  <c r="I96" i="1"/>
  <c r="I98" i="1" s="1"/>
  <c r="I100" i="1" s="1"/>
  <c r="B96" i="1"/>
  <c r="A111" i="1" s="1"/>
  <c r="E112" i="1" s="1"/>
  <c r="E106" i="1"/>
  <c r="L106" i="1"/>
  <c r="L107" i="1"/>
  <c r="L65" i="1"/>
  <c r="E6" i="2"/>
  <c r="F6" i="2" s="1"/>
  <c r="C17" i="2" s="1"/>
  <c r="D17" i="2" s="1"/>
  <c r="D6" i="2"/>
  <c r="I6" i="2"/>
  <c r="J6" i="2" s="1"/>
  <c r="L6" i="2" s="1"/>
  <c r="M6" i="2" s="1"/>
  <c r="N6" i="2" s="1"/>
  <c r="P6" i="2" s="1"/>
  <c r="C10" i="2"/>
  <c r="D10" i="2"/>
  <c r="E10" i="2"/>
  <c r="F10" i="2" s="1"/>
  <c r="G10" i="2" s="1"/>
  <c r="L71" i="1" l="1"/>
  <c r="I57" i="1"/>
  <c r="I59" i="1" s="1"/>
  <c r="H75" i="1" s="1"/>
  <c r="L75" i="1" s="1"/>
  <c r="H111" i="1"/>
  <c r="L111" i="1" s="1"/>
  <c r="B98" i="1"/>
  <c r="B100" i="1" s="1"/>
  <c r="A116" i="1" s="1"/>
  <c r="E117" i="1" s="1"/>
  <c r="E111" i="1"/>
  <c r="I102" i="1"/>
  <c r="H116" i="1"/>
  <c r="G6" i="2"/>
  <c r="E17" i="2" s="1"/>
  <c r="F17" i="2" s="1"/>
  <c r="G17" i="2" s="1"/>
  <c r="O6" i="2"/>
  <c r="R6" i="2"/>
  <c r="S6" i="2" s="1"/>
  <c r="U6" i="2" s="1"/>
  <c r="W6" i="2" s="1"/>
  <c r="X6" i="2" s="1"/>
  <c r="Y6" i="2" s="1"/>
  <c r="Q46" i="1" s="1"/>
  <c r="Q34" i="1" s="1"/>
  <c r="B49" i="1"/>
  <c r="B51" i="1" s="1"/>
  <c r="B55" i="1" s="1"/>
  <c r="B34" i="1"/>
  <c r="L76" i="1" l="1"/>
  <c r="I61" i="1"/>
  <c r="L112" i="1"/>
  <c r="E116" i="1"/>
  <c r="B102" i="1"/>
  <c r="L116" i="1"/>
  <c r="L117" i="1"/>
  <c r="T6" i="2"/>
  <c r="Q44" i="1" s="1"/>
  <c r="B52" i="1"/>
  <c r="A65" i="1" s="1"/>
  <c r="E65" i="1" s="1"/>
  <c r="Q48" i="1"/>
  <c r="B57" i="1"/>
  <c r="B59" i="1" s="1"/>
  <c r="A75" i="1" s="1"/>
  <c r="A70" i="1"/>
  <c r="Q50" i="1" l="1"/>
  <c r="Q52" i="1" s="1"/>
  <c r="Q54" i="1" s="1"/>
  <c r="Q56" i="1" s="1"/>
  <c r="O75" i="1" s="1"/>
  <c r="S76" i="1" s="1"/>
  <c r="O65" i="1"/>
  <c r="B61" i="1"/>
  <c r="E71" i="1"/>
  <c r="E70" i="1"/>
  <c r="E66" i="1"/>
  <c r="S75" i="1" l="1"/>
  <c r="O70" i="1"/>
  <c r="S70" i="1" s="1"/>
  <c r="S65" i="1"/>
  <c r="S66" i="1"/>
  <c r="E75" i="1"/>
  <c r="E76" i="1"/>
  <c r="S71" i="1" l="1"/>
</calcChain>
</file>

<file path=xl/sharedStrings.xml><?xml version="1.0" encoding="utf-8"?>
<sst xmlns="http://schemas.openxmlformats.org/spreadsheetml/2006/main" count="315" uniqueCount="236">
  <si>
    <t>Tagesbruchteil</t>
  </si>
  <si>
    <t>HEUTE()</t>
  </si>
  <si>
    <t>Stunden</t>
  </si>
  <si>
    <t>Minuten</t>
  </si>
  <si>
    <t>Stundenbruchteil</t>
  </si>
  <si>
    <t>Minutenbruchteil</t>
  </si>
  <si>
    <t>Sekunden</t>
  </si>
  <si>
    <t>Stunden (Winkel)</t>
  </si>
  <si>
    <t>X (sin a)</t>
  </si>
  <si>
    <t>y (cos a)</t>
  </si>
  <si>
    <t>Minuten (Winkel)</t>
  </si>
  <si>
    <t>Sekunden (Winkel)</t>
  </si>
  <si>
    <t>JD0</t>
  </si>
  <si>
    <t>T0</t>
  </si>
  <si>
    <t>Sternzeit GMST(0)</t>
  </si>
  <si>
    <t xml:space="preserve">norm. 24h </t>
  </si>
  <si>
    <t>Sternzeit Greenwich (GMST(0))</t>
  </si>
  <si>
    <r>
      <rPr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Calibri"/>
        <family val="2"/>
        <scheme val="minor"/>
      </rPr>
      <t>Greenwich (0 UTC)</t>
    </r>
  </si>
  <si>
    <t>Lokale Sternzeit (0)</t>
  </si>
  <si>
    <t>Sternzeit G</t>
  </si>
  <si>
    <t>Sternzeit Greenwich (GMST)</t>
  </si>
  <si>
    <r>
      <rPr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Calibri"/>
        <family val="2"/>
        <scheme val="minor"/>
      </rPr>
      <t>Greenwich</t>
    </r>
  </si>
  <si>
    <t>HA Frühlingspunkt</t>
  </si>
  <si>
    <t>Lokale Sternzeit</t>
  </si>
  <si>
    <t>Datum, Uhrzeit</t>
  </si>
  <si>
    <t>Uhrzeit</t>
  </si>
  <si>
    <t>JD</t>
  </si>
  <si>
    <t>Tage J2000</t>
  </si>
  <si>
    <t>T</t>
  </si>
  <si>
    <t>Sternzeit (GMST)</t>
  </si>
  <si>
    <t>Lokale Sternzeit (LST)</t>
  </si>
  <si>
    <t>UTC</t>
  </si>
  <si>
    <t>Stunden (Lokale Sternzeit, Winkel)</t>
  </si>
  <si>
    <t>Minuten (Lokale Sternzeit, Winkel)</t>
  </si>
  <si>
    <t>Sekunden (Lokale Sternzeit, Winkel)</t>
  </si>
  <si>
    <t>Systemzeit</t>
  </si>
  <si>
    <t>Sternzeit</t>
  </si>
  <si>
    <t>L0</t>
  </si>
  <si>
    <t>M</t>
  </si>
  <si>
    <t>LÄNGE</t>
  </si>
  <si>
    <t>Sonne Ekliptikale Länge</t>
  </si>
  <si>
    <t>Zonenzeit</t>
  </si>
  <si>
    <t>Wahre Ortszeit (WOZ)</t>
  </si>
  <si>
    <t>MEZ</t>
  </si>
  <si>
    <t>UTC / Greenwich</t>
  </si>
  <si>
    <t>Zeitmakro - F5</t>
  </si>
  <si>
    <t>WOZ: UTC + L</t>
  </si>
  <si>
    <t>UTC / GMT</t>
  </si>
  <si>
    <t>MOZ</t>
  </si>
  <si>
    <t>Sonne</t>
  </si>
  <si>
    <t>DATUM</t>
  </si>
  <si>
    <t>Länge (Sonne)</t>
  </si>
  <si>
    <r>
      <rPr>
        <b/>
        <sz val="11"/>
        <color theme="1"/>
        <rFont val="Calibri"/>
        <family val="2"/>
        <scheme val="minor"/>
      </rPr>
      <t>Julianisches Datum:</t>
    </r>
    <r>
      <rPr>
        <sz val="11"/>
        <color theme="1"/>
        <rFont val="Calibri"/>
        <family val="2"/>
        <scheme val="minor"/>
      </rPr>
      <t xml:space="preserve"> Anzahl seit 01.01. -4723, 00:00 UT</t>
    </r>
  </si>
  <si>
    <t>GMST0=</t>
  </si>
  <si>
    <r>
      <t>Länge</t>
    </r>
    <r>
      <rPr>
        <sz val="11"/>
        <color theme="1"/>
        <rFont val="Symbol"/>
        <family val="1"/>
        <charset val="2"/>
      </rPr>
      <t xml:space="preserve"> l</t>
    </r>
    <r>
      <rPr>
        <sz val="11"/>
        <color theme="1"/>
        <rFont val="Calibri"/>
        <family val="2"/>
        <scheme val="minor"/>
      </rPr>
      <t>°</t>
    </r>
  </si>
  <si>
    <t>Uhrzeit (UT)</t>
  </si>
  <si>
    <t>SIDTIME</t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</si>
  <si>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Anzahl der seit 01.01.2000 vergangenen Jahrhunderte </t>
    </r>
  </si>
  <si>
    <t>Julianisches Datum (JD)</t>
  </si>
  <si>
    <t>"+1" , Korrektur</t>
  </si>
  <si>
    <t>2451544,5+B3-DATUM(2000;1;1)+1</t>
  </si>
  <si>
    <t>2451544,5 + DATUM - DATUM(2000;1;1)</t>
  </si>
  <si>
    <t>Differenz zu J2000</t>
  </si>
  <si>
    <t>Tage</t>
  </si>
  <si>
    <t>B3-DATUM(2000;1;1)+1</t>
  </si>
  <si>
    <t>DATUM - DATUM(2000;1;1) +1</t>
  </si>
  <si>
    <t>T (Jahrhunderte)</t>
  </si>
  <si>
    <t>(C14-2451545)/36525</t>
  </si>
  <si>
    <t>JD-2451545)/36525</t>
  </si>
  <si>
    <t>v</t>
  </si>
  <si>
    <t>282,9404+0,0000470935*C16</t>
  </si>
  <si>
    <t>Länge des Perihelions (Periapsis)</t>
  </si>
  <si>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</si>
  <si>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t>Mittlere Distanz Erde - Somnne (1 AU)</t>
  </si>
  <si>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</t>
    </r>
  </si>
  <si>
    <t>0,016709-0,000000001151*C16</t>
  </si>
  <si>
    <t>Exzentrizität</t>
  </si>
  <si>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=</t>
    </r>
  </si>
  <si>
    <t>356,047+0,9856002585*C16</t>
  </si>
  <si>
    <t>Mittlere Anomalie</t>
  </si>
  <si>
    <t>E26-GANZZAHL(E26/360)*360</t>
  </si>
  <si>
    <t>Auf Bereich 0°-360° reduziert: M-GANZZAHL(L/360)*360</t>
  </si>
  <si>
    <t>Heliozentrische Länge</t>
  </si>
  <si>
    <t>E20+E27</t>
  </si>
  <si>
    <r>
      <t>L=</t>
    </r>
    <r>
      <rPr>
        <sz val="11"/>
        <color theme="1"/>
        <rFont val="Symbol"/>
        <family val="1"/>
        <charset val="2"/>
      </rPr>
      <t>v</t>
    </r>
    <r>
      <rPr>
        <sz val="11"/>
        <color theme="1"/>
        <rFont val="Calibri"/>
        <family val="2"/>
        <scheme val="minor"/>
      </rPr>
      <t>+M</t>
    </r>
  </si>
  <si>
    <t>E30-GANZZAHL(E30/360)*360</t>
  </si>
  <si>
    <t>Auf Bereich 0°-360° reduziert: L-GANZZAHL(L/360)*360</t>
  </si>
  <si>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</t>
    </r>
  </si>
  <si>
    <t>E27+(180/PI()*E24*SIN(BOGENMASS(E27))*(1+E24*COS(BOGENMASS(E27))))</t>
  </si>
  <si>
    <t>Exzentrische Anomalie</t>
  </si>
  <si>
    <t>X</t>
  </si>
  <si>
    <t>COS(BOGENMASS(E33))-E24</t>
  </si>
  <si>
    <r>
      <t>X=cos(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) - </t>
    </r>
    <r>
      <rPr>
        <i/>
        <sz val="11"/>
        <color theme="1"/>
        <rFont val="Calibri"/>
        <family val="2"/>
        <scheme val="minor"/>
      </rPr>
      <t>e</t>
    </r>
  </si>
  <si>
    <t>Y</t>
  </si>
  <si>
    <t>SIN(BOGENMASS(E33))*WURZEL(1-E24^2)</t>
  </si>
  <si>
    <r>
      <t>Y=sin(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 * WURZEL(1 - e^2)</t>
    </r>
  </si>
  <si>
    <t>Entfernung r</t>
  </si>
  <si>
    <t>WURZEL(E38^2+E40^2)</t>
  </si>
  <si>
    <t>WURZEL(x^2+ y^2)</t>
  </si>
  <si>
    <t>Wahre Anomalie</t>
  </si>
  <si>
    <t>v=arctan2( y, x )</t>
  </si>
  <si>
    <t>ARCTAN2(E40;E38)*180/PI()</t>
  </si>
  <si>
    <t>Quadrant beachten!</t>
  </si>
  <si>
    <t>WENN(ARCTAN2(E38;E40)*180/PI()&lt;0;360+ARCTAN2(E38;E40)*180/PI();ARCTAN2(E38;E40)*180/PI())</t>
  </si>
  <si>
    <r>
      <t xml:space="preserve">WENN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&lt;0; 360 - </t>
    </r>
    <r>
      <rPr>
        <i/>
        <sz val="11"/>
        <color theme="1"/>
        <rFont val="Calibri"/>
        <family val="2"/>
        <scheme val="minor"/>
      </rPr>
      <t>v</t>
    </r>
  </si>
  <si>
    <t>Ekliptikale Länge</t>
  </si>
  <si>
    <r>
      <t xml:space="preserve">Länge </t>
    </r>
    <r>
      <rPr>
        <sz val="11"/>
        <color theme="1"/>
        <rFont val="Symbol"/>
        <family val="1"/>
        <charset val="2"/>
      </rPr>
      <t>l</t>
    </r>
  </si>
  <si>
    <t>E20+E50</t>
  </si>
  <si>
    <r>
      <rPr>
        <sz val="11"/>
        <color theme="1"/>
        <rFont val="Symbol"/>
        <family val="1"/>
        <charset val="2"/>
      </rPr>
      <t>v</t>
    </r>
    <r>
      <rPr>
        <sz val="11"/>
        <color theme="1"/>
        <rFont val="Calibri"/>
        <family val="2"/>
        <scheme val="minor"/>
      </rPr>
      <t>+v</t>
    </r>
  </si>
  <si>
    <t>E52-GANZZAHL(E52/360)*360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</si>
  <si>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-GANZZAHL(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/360)*360</t>
    </r>
  </si>
  <si>
    <r>
      <t>x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=</t>
    </r>
  </si>
  <si>
    <t>E44*COS(BOGENMASS(E53))</t>
  </si>
  <si>
    <r>
      <t>r*COS(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</si>
  <si>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=</t>
    </r>
  </si>
  <si>
    <t>E44*SIN(BOGENMASS(E53))</t>
  </si>
  <si>
    <r>
      <t>r*SIN(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)</t>
    </r>
  </si>
  <si>
    <r>
      <t>z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=</t>
    </r>
  </si>
  <si>
    <t>0: Sonne "läuft" scheinbar nahezu entlang die Ekliptik</t>
  </si>
  <si>
    <t>Umwandlung Ekliptikales System - Äquatoriales System</t>
  </si>
  <si>
    <r>
      <t xml:space="preserve">Schiefe der Ekliptik </t>
    </r>
    <r>
      <rPr>
        <sz val="11"/>
        <color theme="1"/>
        <rFont val="Symbol"/>
        <family val="1"/>
        <charset val="2"/>
      </rPr>
      <t>e</t>
    </r>
  </si>
  <si>
    <r>
      <t>x</t>
    </r>
    <r>
      <rPr>
        <vertAlign val="subscript"/>
        <sz val="11"/>
        <color theme="1"/>
        <rFont val="Calibri"/>
        <family val="2"/>
        <scheme val="minor"/>
      </rPr>
      <t>(Äquator)</t>
    </r>
    <r>
      <rPr>
        <sz val="11"/>
        <color theme="1"/>
        <rFont val="Calibri"/>
        <family val="2"/>
        <scheme val="minor"/>
      </rPr>
      <t>=</t>
    </r>
  </si>
  <si>
    <t>E56</t>
  </si>
  <si>
    <r>
      <t>x</t>
    </r>
    <r>
      <rPr>
        <vertAlign val="subscript"/>
        <sz val="11"/>
        <color theme="1"/>
        <rFont val="Calibri"/>
        <family val="2"/>
        <scheme val="minor"/>
      </rPr>
      <t xml:space="preserve">(Äquator) </t>
    </r>
    <r>
      <rPr>
        <sz val="11"/>
        <color theme="1"/>
        <rFont val="Calibri"/>
        <family val="2"/>
        <scheme val="minor"/>
      </rPr>
      <t>= x</t>
    </r>
    <r>
      <rPr>
        <vertAlign val="subscript"/>
        <sz val="11"/>
        <color theme="1"/>
        <rFont val="Calibri"/>
        <family val="2"/>
        <scheme val="minor"/>
      </rPr>
      <t>(Ekliptik)</t>
    </r>
  </si>
  <si>
    <r>
      <t>y</t>
    </r>
    <r>
      <rPr>
        <vertAlign val="subscript"/>
        <sz val="11"/>
        <color theme="1"/>
        <rFont val="Calibri"/>
        <family val="2"/>
        <scheme val="minor"/>
      </rPr>
      <t>(Äquator)</t>
    </r>
    <r>
      <rPr>
        <sz val="11"/>
        <color theme="1"/>
        <rFont val="Calibri"/>
        <family val="2"/>
        <scheme val="minor"/>
      </rPr>
      <t>=</t>
    </r>
  </si>
  <si>
    <t>E58*COS(BOGENMASS(E64))-E60*SIN(BOGENMASS(E64))</t>
  </si>
  <si>
    <r>
      <t>y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*COS(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 - z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*SIN(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</t>
    </r>
  </si>
  <si>
    <r>
      <t>z</t>
    </r>
    <r>
      <rPr>
        <vertAlign val="subscript"/>
        <sz val="11"/>
        <color theme="1"/>
        <rFont val="Calibri"/>
        <family val="2"/>
        <scheme val="minor"/>
      </rPr>
      <t>(Äquator)</t>
    </r>
    <r>
      <rPr>
        <sz val="11"/>
        <color theme="1"/>
        <rFont val="Calibri"/>
        <family val="2"/>
        <scheme val="minor"/>
      </rPr>
      <t>=</t>
    </r>
  </si>
  <si>
    <t>E58*SIN(BOGENMASS(E64))+E60*COS(BOGENMASS(E64))</t>
  </si>
  <si>
    <r>
      <t>y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*SIN€ + z</t>
    </r>
    <r>
      <rPr>
        <vertAlign val="subscript"/>
        <sz val="11"/>
        <color theme="1"/>
        <rFont val="Calibri"/>
        <family val="2"/>
        <scheme val="minor"/>
      </rPr>
      <t>(Ekliptik)</t>
    </r>
    <r>
      <rPr>
        <sz val="11"/>
        <color theme="1"/>
        <rFont val="Calibri"/>
        <family val="2"/>
        <scheme val="minor"/>
      </rPr>
      <t>*COS(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</t>
    </r>
  </si>
  <si>
    <t>Geozentrische Position</t>
  </si>
  <si>
    <t>r = (Distanz Erde - Sonne)</t>
  </si>
  <si>
    <t>WURZEL(E66^2+E68^2+E70^2)</t>
  </si>
  <si>
    <t>WURZEL(x^2 + y^2 + z^2)</t>
  </si>
  <si>
    <t>ARCTAN2(E66;E68)*180/PI()</t>
  </si>
  <si>
    <t>ARCTAN2(x;y)*180/PI()</t>
  </si>
  <si>
    <t>Stundenwinkel</t>
  </si>
  <si>
    <t>WENN(E76&lt;0;360+E76;E76)</t>
  </si>
  <si>
    <t>WENN STUNDENWINKEL&lt;0,360+RA</t>
  </si>
  <si>
    <t>RA</t>
  </si>
  <si>
    <t>E77/15</t>
  </si>
  <si>
    <t>STUNDENWINKEL/15</t>
  </si>
  <si>
    <t>E78/24</t>
  </si>
  <si>
    <t>Zeitformat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</si>
  <si>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Deklination</t>
    </r>
  </si>
  <si>
    <t>ARCSIN(E70/E74)*180/PI()</t>
  </si>
  <si>
    <t>ARCSIN(z/r)*180/PI()</t>
  </si>
  <si>
    <t>Alternativ</t>
  </si>
  <si>
    <t>ARCTAN2(E70;WURZEL(E66^2+E68^2))*180/PI()</t>
  </si>
  <si>
    <t>ARCTAN2(z;WURZEL(x^2+y^2))*180/PI()</t>
  </si>
  <si>
    <t>WENN(E83&gt;E64;90-E83;E83)</t>
  </si>
  <si>
    <r>
      <t xml:space="preserve">WENN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&gt;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; 90 - </t>
    </r>
    <r>
      <rPr>
        <sz val="11"/>
        <color theme="1"/>
        <rFont val="Symbol"/>
        <family val="1"/>
        <charset val="2"/>
      </rPr>
      <t>d</t>
    </r>
  </si>
  <si>
    <t>Geographische Länge</t>
  </si>
  <si>
    <t>Geographische Breite</t>
  </si>
  <si>
    <t>Zeitgleichung</t>
  </si>
  <si>
    <t>https://de.wikipedia.org/wiki/Zeitgleichung</t>
  </si>
  <si>
    <t>ZG*</t>
  </si>
  <si>
    <t>°</t>
  </si>
  <si>
    <t>ARCTAN((TAN(BOGENMASS(E31))-TAN(BOGENMASS(E53))*COS(BOGENMASS(E64)))/(1+TAN(BOGENMASS(E31))*TAN(BOGENMASS(E53))*COS(BOGENMASS(E64))))*180/PI()</t>
  </si>
  <si>
    <t>ARCTAN((TAN(BOGENMASS(HEL.LÄNGE))-TAN(BOGENMASS(EKL.LÄNGE))*COS(BOGENMASS(SCHIEFE EKL)))/(1+TAN(BOGENMASS(HEL.LÄNGE))*TAN(BOGENMASS(EKL.LÄNGE))*COS(BOGENMASS(SCHIEFE EKL))))*180/PI()</t>
  </si>
  <si>
    <t>ZG</t>
  </si>
  <si>
    <t>min</t>
  </si>
  <si>
    <t>E95*4</t>
  </si>
  <si>
    <t>Tageslänge, Durchgang, Aufgang und Untergang</t>
  </si>
  <si>
    <t>astronomisch</t>
  </si>
  <si>
    <t>ARCCOS((SIN(BOGENMASS(-0,833))-(SIN(BOGENMASS(E88))*SIN(BOGENMASS(E81))/(COS(BOGENMASS(E88))*COS(BOGENMASS(E81))))))*180/PI()</t>
  </si>
  <si>
    <t>E103/15</t>
  </si>
  <si>
    <t>Halber Tagbogen</t>
  </si>
  <si>
    <t>12*ARCCOS((SIN(BOGENMASS(-0,833))-(SIN(BOGENMASS(E88))*SIN(BOGENMASS(E81))/(COS(BOGENMASS(E88))*COS(BOGENMASS(E81))))))/PI()</t>
  </si>
  <si>
    <t>12*ARCCOS((SIN(BOGENMASS(-0,833))-(SIN(BOGENMASS(BREITE))*SIN(BOGENMASS(DEKL))/(COS(BOGENMASS(BREITE))*COS(BOGENMASS(DEKL))))))/PI()</t>
  </si>
  <si>
    <t>Tageslänge</t>
  </si>
  <si>
    <t>2*D105</t>
  </si>
  <si>
    <t>D107/24</t>
  </si>
  <si>
    <t>Mittag</t>
  </si>
  <si>
    <t>Zeitgleichung (min)</t>
  </si>
  <si>
    <t>E97</t>
  </si>
  <si>
    <t>D112/60</t>
  </si>
  <si>
    <t>Differenz MEZ/MEZ - MOZ</t>
  </si>
  <si>
    <t>(15-E86)*4/60</t>
  </si>
  <si>
    <t>Mittag MEZ</t>
  </si>
  <si>
    <t>12+D115-D113</t>
  </si>
  <si>
    <t>D116/24</t>
  </si>
  <si>
    <t>SA</t>
  </si>
  <si>
    <t>D116-D105</t>
  </si>
  <si>
    <t>D120/24</t>
  </si>
  <si>
    <t>Azimut</t>
  </si>
  <si>
    <t>GRAD(ARCCOS((SIN(BOGENMASS(E81))/COS(BOGENMASS(E88)))))</t>
  </si>
  <si>
    <t>GRAD(ARCCOS((SIN(BOGENMASS(DEKL))/COS(BOGENMASS(BREITE)))))</t>
  </si>
  <si>
    <t>SU</t>
  </si>
  <si>
    <t>D116+D105</t>
  </si>
  <si>
    <t>D125/24</t>
  </si>
  <si>
    <t>360-GRAD(ARCCOS((SIN(BOGENMASS(E81))/COS(BOGENMASS(E88)))))</t>
  </si>
  <si>
    <t>360-GRAD(ARCCOS((SIN(BOGENMASS(DEKL))/COS(BOGENMASS(BREITE)))))</t>
  </si>
  <si>
    <t>Tabelle1!C7</t>
  </si>
  <si>
    <t>Tabelle1!I9</t>
  </si>
  <si>
    <t>Mittlere Ortszeit (MOZ)</t>
  </si>
  <si>
    <t>UTC + Länge</t>
  </si>
  <si>
    <t>MOZ + Zeitgleichung</t>
  </si>
  <si>
    <t>Meridiandurchgang</t>
  </si>
  <si>
    <t>Zeitzone</t>
  </si>
  <si>
    <t>Sonnenaufgang</t>
  </si>
  <si>
    <t>Sonnenuntergang</t>
  </si>
  <si>
    <t>Länge</t>
  </si>
  <si>
    <t>´</t>
  </si>
  <si>
    <t xml:space="preserve">´´ </t>
  </si>
  <si>
    <t>Breite</t>
  </si>
  <si>
    <t>(MEZ=UTC+1h, MESZ=UTC+2h)</t>
  </si>
  <si>
    <t xml:space="preserve">WOZ </t>
  </si>
  <si>
    <t>Weltzeit</t>
  </si>
  <si>
    <t>UTC/GMT</t>
  </si>
  <si>
    <t>WOZ</t>
  </si>
  <si>
    <t>Weltzeit (UTC)</t>
  </si>
  <si>
    <t>h</t>
  </si>
  <si>
    <t>UTC: MEZ = Systemzeit- 1 h, MESZ = Systemzeit - 2 h</t>
  </si>
  <si>
    <t>MEZ/MESZ oder Zonenzeit</t>
  </si>
  <si>
    <t>bezogen auf den Null-</t>
  </si>
  <si>
    <t>Wahre Ortszeit = Wahre Sonnenzeit</t>
  </si>
  <si>
    <t>meridian und abhängig von</t>
  </si>
  <si>
    <t xml:space="preserve">zension (R.A.) des Himmelskörpers der aktuell </t>
  </si>
  <si>
    <t>im Süden). Beispiel: Der Stern Sirius (R.A. 06 h</t>
  </si>
  <si>
    <t>Sternzeit (ST)</t>
  </si>
  <si>
    <t>45 min) steht um 06 h 45 min ST im Süden.</t>
  </si>
  <si>
    <t>der geographischen Länge</t>
  </si>
  <si>
    <r>
      <t xml:space="preserve">des Ortes (1 h </t>
    </r>
    <r>
      <rPr>
        <sz val="11"/>
        <color theme="1"/>
        <rFont val="Lucida Sans Unicode"/>
        <family val="2"/>
      </rPr>
      <t xml:space="preserve">≙ </t>
    </r>
    <r>
      <rPr>
        <sz val="11"/>
        <color theme="1"/>
        <rFont val="Calibri"/>
        <family val="2"/>
        <scheme val="minor"/>
      </rPr>
      <t>15</t>
    </r>
    <r>
      <rPr>
        <sz val="11"/>
        <color theme="1"/>
        <rFont val="Lucida Sans Unicode"/>
        <family val="2"/>
      </rPr>
      <t>°)</t>
    </r>
  </si>
  <si>
    <t>Jede Zeitzone umfasst idealer-</t>
  </si>
  <si>
    <t>weise 15° Längengrade.</t>
  </si>
  <si>
    <t>Mittlere Ortszeit in Greenwich</t>
  </si>
  <si>
    <t>(London)</t>
  </si>
  <si>
    <t>Gesetzliche Zeit bezogen auf UTC.</t>
  </si>
  <si>
    <t>Mittlere Ortszeit</t>
  </si>
  <si>
    <t>Wie spät ist es wirklich?</t>
  </si>
  <si>
    <t>Die Sternzeit (ST) ist identisch mit der Rektas-</t>
  </si>
  <si>
    <t>durch den Meridian geht (auf der Nordhalbkugel</t>
  </si>
  <si>
    <t>z.B. Deutschland UTC + 1 h (MEZ) oder UTC +2h (MESZ)</t>
  </si>
  <si>
    <t>Ingo Mennerich, Februar 2019 (Version Juli 19)</t>
  </si>
  <si>
    <t>14.07.2019 11:38:57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</si>
</sst>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dd/mm/yyyy\ hh:mm:ss"/>
    <numFmt numFmtId="165" formatCode="0.00000000000"/>
    <numFmt numFmtId="166" formatCode="0.00000000"/>
    <numFmt numFmtId="167" formatCode="h:mm;@"/>
    <numFmt numFmtId="168" formatCode="0.0"/>
    <numFmt numFmtId="169" formatCode="0.00000"/>
    <numFmt numFmtId="170" formatCode="0.000000"/>
    <numFmt numFmtId="171" formatCode="0.0000"/>
    <numFmt numFmtId="172" formatCode="[$-F400]h:mm:ss\ AM/PM"/>
    <numFmt numFmtId="173" formatCode="\-hh:mm:ss"/>
    <numFmt numFmtId="174" formatCode="h:mm:ss;@"/>
    <numFmt numFmtId="17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0" xfId="0" applyAlignment="1">
      <alignment textRotation="90"/>
    </xf>
    <xf numFmtId="0" fontId="3" fillId="0" borderId="0" xfId="0" applyFont="1" applyAlignment="1">
      <alignment textRotation="90"/>
    </xf>
    <xf numFmtId="2" fontId="0" fillId="0" borderId="0" xfId="0" applyNumberFormat="1" applyFill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1" fillId="0" borderId="0" xfId="0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21" fontId="0" fillId="0" borderId="0" xfId="0" applyNumberFormat="1"/>
    <xf numFmtId="0" fontId="0" fillId="3" borderId="0" xfId="0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5" fillId="0" borderId="0" xfId="0" applyFont="1" applyFill="1"/>
    <xf numFmtId="1" fontId="6" fillId="0" borderId="0" xfId="0" applyNumberFormat="1" applyFont="1"/>
    <xf numFmtId="168" fontId="1" fillId="3" borderId="0" xfId="0" applyNumberFormat="1" applyFont="1" applyFill="1"/>
    <xf numFmtId="0" fontId="9" fillId="0" borderId="0" xfId="0" applyFont="1" applyFill="1"/>
    <xf numFmtId="0" fontId="6" fillId="0" borderId="0" xfId="0" applyFont="1" applyFill="1"/>
    <xf numFmtId="14" fontId="0" fillId="0" borderId="0" xfId="0" applyNumberFormat="1" applyFill="1"/>
    <xf numFmtId="22" fontId="0" fillId="0" borderId="0" xfId="0" applyNumberFormat="1" applyFill="1"/>
    <xf numFmtId="0" fontId="5" fillId="0" borderId="0" xfId="0" applyNumberFormat="1" applyFont="1" applyFill="1"/>
    <xf numFmtId="170" fontId="0" fillId="0" borderId="0" xfId="0" applyNumberFormat="1" applyFill="1"/>
    <xf numFmtId="21" fontId="0" fillId="0" borderId="0" xfId="0" applyNumberFormat="1" applyFill="1"/>
    <xf numFmtId="0" fontId="1" fillId="0" borderId="0" xfId="0" applyFont="1" applyFill="1"/>
    <xf numFmtId="171" fontId="5" fillId="0" borderId="0" xfId="0" applyNumberFormat="1" applyFont="1" applyFill="1"/>
    <xf numFmtId="21" fontId="10" fillId="0" borderId="0" xfId="0" applyNumberFormat="1" applyFont="1" applyAlignment="1">
      <alignment horizontal="center" vertical="center"/>
    </xf>
    <xf numFmtId="174" fontId="1" fillId="0" borderId="0" xfId="0" applyNumberFormat="1" applyFont="1"/>
    <xf numFmtId="20" fontId="0" fillId="0" borderId="0" xfId="0" applyNumberFormat="1"/>
    <xf numFmtId="168" fontId="0" fillId="0" borderId="0" xfId="0" applyNumberFormat="1" applyFill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3" fontId="0" fillId="0" borderId="0" xfId="0" applyNumberFormat="1" applyFill="1"/>
    <xf numFmtId="20" fontId="5" fillId="0" borderId="0" xfId="0" applyNumberFormat="1" applyFont="1" applyFill="1"/>
    <xf numFmtId="0" fontId="1" fillId="3" borderId="0" xfId="0" applyFont="1" applyFill="1"/>
    <xf numFmtId="168" fontId="0" fillId="3" borderId="0" xfId="0" applyNumberFormat="1" applyFill="1"/>
    <xf numFmtId="20" fontId="0" fillId="3" borderId="0" xfId="0" applyNumberFormat="1" applyFill="1" applyAlignment="1">
      <alignment vertical="center"/>
    </xf>
    <xf numFmtId="1" fontId="0" fillId="3" borderId="0" xfId="0" applyNumberFormat="1" applyFill="1" applyAlignment="1">
      <alignment horizontal="center" vertical="center"/>
    </xf>
    <xf numFmtId="0" fontId="8" fillId="0" borderId="0" xfId="0" applyFont="1"/>
    <xf numFmtId="164" fontId="0" fillId="0" borderId="0" xfId="0" applyNumberFormat="1" applyAlignment="1">
      <alignment horizontal="right" vertical="center"/>
    </xf>
    <xf numFmtId="0" fontId="3" fillId="0" borderId="0" xfId="0" applyFont="1"/>
    <xf numFmtId="22" fontId="11" fillId="2" borderId="0" xfId="0" applyNumberFormat="1" applyFont="1" applyFill="1"/>
    <xf numFmtId="0" fontId="3" fillId="4" borderId="0" xfId="0" applyFont="1" applyFill="1"/>
    <xf numFmtId="0" fontId="0" fillId="4" borderId="0" xfId="0" applyFill="1"/>
    <xf numFmtId="22" fontId="0" fillId="4" borderId="0" xfId="0" applyNumberFormat="1" applyFill="1"/>
    <xf numFmtId="171" fontId="0" fillId="4" borderId="0" xfId="0" applyNumberFormat="1" applyFill="1"/>
    <xf numFmtId="0" fontId="5" fillId="4" borderId="0" xfId="0" applyFont="1" applyFill="1"/>
    <xf numFmtId="172" fontId="5" fillId="4" borderId="0" xfId="0" applyNumberFormat="1" applyFont="1" applyFill="1"/>
    <xf numFmtId="2" fontId="0" fillId="4" borderId="0" xfId="0" applyNumberFormat="1" applyFill="1"/>
    <xf numFmtId="20" fontId="0" fillId="4" borderId="0" xfId="0" applyNumberFormat="1" applyFill="1"/>
    <xf numFmtId="169" fontId="5" fillId="4" borderId="0" xfId="0" applyNumberFormat="1" applyFont="1" applyFill="1"/>
    <xf numFmtId="172" fontId="12" fillId="5" borderId="0" xfId="0" applyNumberFormat="1" applyFont="1" applyFill="1"/>
    <xf numFmtId="2" fontId="5" fillId="0" borderId="0" xfId="0" applyNumberFormat="1" applyFont="1"/>
    <xf numFmtId="0" fontId="12" fillId="0" borderId="0" xfId="0" applyFont="1"/>
    <xf numFmtId="170" fontId="5" fillId="0" borderId="0" xfId="0" applyNumberFormat="1" applyFont="1"/>
    <xf numFmtId="0" fontId="4" fillId="0" borderId="0" xfId="0" applyFont="1"/>
    <xf numFmtId="0" fontId="12" fillId="3" borderId="0" xfId="0" applyFont="1" applyFill="1"/>
    <xf numFmtId="0" fontId="0" fillId="6" borderId="0" xfId="0" applyFill="1"/>
    <xf numFmtId="0" fontId="0" fillId="0" borderId="0" xfId="0" applyFont="1"/>
    <xf numFmtId="0" fontId="12" fillId="0" borderId="0" xfId="0" applyFont="1" applyFill="1"/>
    <xf numFmtId="0" fontId="0" fillId="7" borderId="0" xfId="0" applyFill="1"/>
    <xf numFmtId="0" fontId="5" fillId="3" borderId="0" xfId="0" applyFont="1" applyFill="1"/>
    <xf numFmtId="169" fontId="6" fillId="0" borderId="0" xfId="0" applyNumberFormat="1" applyFont="1" applyFill="1"/>
    <xf numFmtId="172" fontId="12" fillId="3" borderId="0" xfId="0" applyNumberFormat="1" applyFont="1" applyFill="1"/>
    <xf numFmtId="172" fontId="5" fillId="0" borderId="0" xfId="0" applyNumberFormat="1" applyFont="1" applyFill="1"/>
    <xf numFmtId="172" fontId="12" fillId="0" borderId="0" xfId="0" applyNumberFormat="1" applyFont="1" applyFill="1"/>
    <xf numFmtId="0" fontId="2" fillId="0" borderId="0" xfId="0" applyFont="1" applyFill="1"/>
    <xf numFmtId="2" fontId="0" fillId="7" borderId="0" xfId="0" applyNumberFormat="1" applyFont="1" applyFill="1"/>
    <xf numFmtId="0" fontId="0" fillId="0" borderId="0" xfId="0" applyFont="1" applyFill="1"/>
    <xf numFmtId="0" fontId="0" fillId="7" borderId="0" xfId="0" applyFont="1" applyFill="1"/>
    <xf numFmtId="0" fontId="15" fillId="0" borderId="0" xfId="0" applyFont="1"/>
    <xf numFmtId="2" fontId="12" fillId="3" borderId="0" xfId="0" applyNumberFormat="1" applyFont="1" applyFill="1"/>
    <xf numFmtId="0" fontId="16" fillId="0" borderId="0" xfId="0" applyFont="1" applyFill="1"/>
    <xf numFmtId="167" fontId="12" fillId="3" borderId="0" xfId="0" applyNumberFormat="1" applyFont="1" applyFill="1"/>
    <xf numFmtId="167" fontId="5" fillId="0" borderId="0" xfId="0" applyNumberFormat="1" applyFont="1" applyFill="1"/>
    <xf numFmtId="0" fontId="0" fillId="0" borderId="0" xfId="0" applyAlignment="1">
      <alignment horizontal="left"/>
    </xf>
    <xf numFmtId="1" fontId="12" fillId="3" borderId="0" xfId="0" applyNumberFormat="1" applyFont="1" applyFill="1"/>
    <xf numFmtId="20" fontId="0" fillId="0" borderId="0" xfId="0" applyNumberFormat="1" applyFill="1"/>
    <xf numFmtId="0" fontId="2" fillId="0" borderId="0" xfId="0" applyFont="1" applyFill="1" applyAlignment="1"/>
    <xf numFmtId="0" fontId="0" fillId="0" borderId="0" xfId="0" applyFill="1" applyAlignment="1"/>
    <xf numFmtId="1" fontId="3" fillId="0" borderId="0" xfId="0" applyNumberFormat="1" applyFont="1" applyAlignment="1"/>
    <xf numFmtId="22" fontId="6" fillId="0" borderId="0" xfId="0" applyNumberFormat="1" applyFont="1"/>
    <xf numFmtId="0" fontId="0" fillId="0" borderId="0" xfId="0" applyAlignment="1"/>
    <xf numFmtId="2" fontId="5" fillId="0" borderId="0" xfId="0" applyNumberFormat="1" applyFont="1" applyAlignment="1">
      <alignment vertical="center"/>
    </xf>
    <xf numFmtId="1" fontId="0" fillId="0" borderId="0" xfId="0" applyNumberFormat="1" applyFont="1" applyFill="1" applyAlignment="1"/>
    <xf numFmtId="0" fontId="0" fillId="8" borderId="0" xfId="0" applyFill="1"/>
    <xf numFmtId="0" fontId="0" fillId="8" borderId="0" xfId="0" applyFill="1" applyAlignment="1"/>
    <xf numFmtId="2" fontId="5" fillId="8" borderId="0" xfId="0" applyNumberFormat="1" applyFont="1" applyFill="1" applyAlignment="1">
      <alignment vertical="center"/>
    </xf>
    <xf numFmtId="1" fontId="3" fillId="8" borderId="0" xfId="0" applyNumberFormat="1" applyFont="1" applyFill="1" applyAlignment="1"/>
    <xf numFmtId="20" fontId="0" fillId="8" borderId="0" xfId="0" applyNumberFormat="1" applyFill="1"/>
    <xf numFmtId="0" fontId="9" fillId="8" borderId="0" xfId="0" applyFont="1" applyFill="1"/>
    <xf numFmtId="175" fontId="0" fillId="0" borderId="0" xfId="0" applyNumberFormat="1"/>
    <xf numFmtId="0" fontId="0" fillId="9" borderId="0" xfId="0" applyFill="1"/>
    <xf numFmtId="0" fontId="9" fillId="9" borderId="0" xfId="0" applyFont="1" applyFill="1"/>
    <xf numFmtId="0" fontId="0" fillId="0" borderId="0" xfId="0" applyFont="1" applyAlignment="1">
      <alignment horizontal="center" vertical="center"/>
    </xf>
    <xf numFmtId="0" fontId="3" fillId="0" borderId="0" xfId="0" applyFont="1" applyFill="1"/>
    <xf numFmtId="1" fontId="0" fillId="0" borderId="0" xfId="0" applyNumberFormat="1" applyFont="1" applyAlignment="1"/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Fill="1" applyAlignment="1"/>
    <xf numFmtId="0" fontId="10" fillId="3" borderId="0" xfId="0" applyFont="1" applyFill="1"/>
    <xf numFmtId="1" fontId="0" fillId="2" borderId="0" xfId="0" applyNumberFormat="1" applyFont="1" applyFill="1" applyAlignment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right" vertical="center"/>
      <protection locked="0"/>
    </xf>
    <xf numFmtId="174" fontId="0" fillId="0" borderId="0" xfId="0" applyNumberFormat="1"/>
    <xf numFmtId="0" fontId="6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8" fillId="3" borderId="0" xfId="0" applyFont="1" applyFill="1" applyAlignment="1"/>
    <xf numFmtId="0" fontId="0" fillId="3" borderId="0" xfId="0" applyFill="1" applyAlignment="1"/>
    <xf numFmtId="2" fontId="3" fillId="3" borderId="0" xfId="0" applyNumberFormat="1" applyFont="1" applyFill="1" applyAlignment="1"/>
    <xf numFmtId="164" fontId="6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Stunden</c:v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Tabelle1!$E$65:$F$65</c:f>
              <c:numCache>
                <c:formatCode>General</c:formatCode>
                <c:ptCount val="2"/>
                <c:pt idx="0">
                  <c:v>-0.47139352603659102</c:v>
                </c:pt>
                <c:pt idx="1">
                  <c:v>0</c:v>
                </c:pt>
              </c:numCache>
            </c:numRef>
          </c:xVal>
          <c:yVal>
            <c:numRef>
              <c:f>Tabelle1!$E$66:$F$66</c:f>
              <c:numCache>
                <c:formatCode>General</c:formatCode>
                <c:ptCount val="2"/>
                <c:pt idx="0">
                  <c:v>0.16669776126508054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Minuten</c:v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Tabelle1!$E$70:$F$70</c:f>
              <c:numCache>
                <c:formatCode>General</c:formatCode>
                <c:ptCount val="2"/>
                <c:pt idx="0">
                  <c:v>-0.72533545403405697</c:v>
                </c:pt>
                <c:pt idx="1">
                  <c:v>0</c:v>
                </c:pt>
              </c:numCache>
            </c:numRef>
          </c:xVal>
          <c:yVal>
            <c:numRef>
              <c:f>Tabelle1!$E$71:$F$71</c:f>
              <c:numCache>
                <c:formatCode>General</c:formatCode>
                <c:ptCount val="2"/>
                <c:pt idx="0">
                  <c:v>-0.53281186090514965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Sekunden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Tabelle1!$E$75:$F$75</c:f>
              <c:numCache>
                <c:formatCode>General</c:formatCode>
                <c:ptCount val="2"/>
                <c:pt idx="0">
                  <c:v>-0.27811529393570367</c:v>
                </c:pt>
                <c:pt idx="1">
                  <c:v>0</c:v>
                </c:pt>
              </c:numCache>
            </c:numRef>
          </c:xVal>
          <c:yVal>
            <c:numRef>
              <c:f>Tabelle1!$E$76:$F$76</c:f>
              <c:numCache>
                <c:formatCode>General</c:formatCode>
                <c:ptCount val="2"/>
                <c:pt idx="0">
                  <c:v>0.85595086499112627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87936"/>
        <c:axId val="71289472"/>
      </c:scatterChart>
      <c:valAx>
        <c:axId val="7128793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71289472"/>
        <c:crosses val="autoZero"/>
        <c:crossBetween val="midCat"/>
        <c:majorUnit val="0.1"/>
      </c:valAx>
      <c:valAx>
        <c:axId val="7128947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71287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 cstate="print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505376344086021E-3"/>
          <c:w val="1"/>
          <c:h val="0.99784946236559136"/>
        </c:manualLayout>
      </c:layout>
      <c:scatterChart>
        <c:scatterStyle val="lineMarker"/>
        <c:varyColors val="0"/>
        <c:ser>
          <c:idx val="1"/>
          <c:order val="1"/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Tabelle1!$S$65:$T$65</c:f>
              <c:numCache>
                <c:formatCode>General</c:formatCode>
                <c:ptCount val="2"/>
                <c:pt idx="0">
                  <c:v>0.59884431228188661</c:v>
                </c:pt>
                <c:pt idx="1">
                  <c:v>0</c:v>
                </c:pt>
              </c:numCache>
            </c:numRef>
          </c:xVal>
          <c:yVal>
            <c:numRef>
              <c:f>Tabelle1!$S$66:$T$66</c:f>
              <c:numCache>
                <c:formatCode>General</c:formatCode>
                <c:ptCount val="2"/>
                <c:pt idx="0">
                  <c:v>3.7222166079290256E-2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Tabelle1!$S$70:$T$70</c:f>
              <c:numCache>
                <c:formatCode>General</c:formatCode>
                <c:ptCount val="2"/>
                <c:pt idx="0">
                  <c:v>-0.99672509425333478</c:v>
                </c:pt>
                <c:pt idx="1">
                  <c:v>0</c:v>
                </c:pt>
              </c:numCache>
            </c:numRef>
          </c:xVal>
          <c:yVal>
            <c:numRef>
              <c:f>Tabelle1!$S$71:$T$71</c:f>
              <c:numCache>
                <c:formatCode>General</c:formatCode>
                <c:ptCount val="2"/>
                <c:pt idx="0">
                  <c:v>8.0864618255952245E-2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Tabelle1!$S$75:$T$75</c:f>
              <c:numCache>
                <c:formatCode>General</c:formatCode>
                <c:ptCount val="2"/>
                <c:pt idx="0">
                  <c:v>-0.98953600483514481</c:v>
                </c:pt>
                <c:pt idx="1">
                  <c:v>0</c:v>
                </c:pt>
              </c:numCache>
            </c:numRef>
          </c:xVal>
          <c:yVal>
            <c:numRef>
              <c:f>Tabelle1!$S$76:$T$76</c:f>
              <c:numCache>
                <c:formatCode>General</c:formatCode>
                <c:ptCount val="2"/>
                <c:pt idx="0">
                  <c:v>0.14428615711460396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74880"/>
        <c:axId val="80888960"/>
      </c:scatterChart>
      <c:valAx>
        <c:axId val="8087488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80888960"/>
        <c:crosses val="autoZero"/>
        <c:crossBetween val="midCat"/>
        <c:majorUnit val="0.1"/>
      </c:valAx>
      <c:valAx>
        <c:axId val="8088896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80874880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c:spPr>
    </c:plotArea>
    <c:plotVisOnly val="1"/>
    <c:dispBlanksAs val="gap"/>
    <c:showDLblsOverMax val="0"/>
  </c:chart>
  <c:spPr>
    <a:noFill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Stunden</c:v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Tabelle1!$L$65:$M$65</c:f>
              <c:numCache>
                <c:formatCode>General</c:formatCode>
                <c:ptCount val="2"/>
                <c:pt idx="0">
                  <c:v>-9.133226699376025E-2</c:v>
                </c:pt>
                <c:pt idx="1">
                  <c:v>0</c:v>
                </c:pt>
              </c:numCache>
            </c:numRef>
          </c:xVal>
          <c:yVal>
            <c:numRef>
              <c:f>Tabelle1!$L$66:$M$66</c:f>
              <c:numCache>
                <c:formatCode>General</c:formatCode>
                <c:ptCount val="2"/>
                <c:pt idx="0">
                  <c:v>0.4915876493625328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Minuten</c:v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Tabelle1!$L$70:$M$70</c:f>
              <c:numCache>
                <c:formatCode>General</c:formatCode>
                <c:ptCount val="2"/>
                <c:pt idx="0">
                  <c:v>-0.72533545422892209</c:v>
                </c:pt>
                <c:pt idx="1">
                  <c:v>0</c:v>
                </c:pt>
              </c:numCache>
            </c:numRef>
          </c:xVal>
          <c:yVal>
            <c:numRef>
              <c:f>Tabelle1!$L$71:$M$71</c:f>
              <c:numCache>
                <c:formatCode>General</c:formatCode>
                <c:ptCount val="2"/>
                <c:pt idx="0">
                  <c:v>-0.53281186063987296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Sekunden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Tabelle1!$L$75:$M$75</c:f>
              <c:numCache>
                <c:formatCode>General</c:formatCode>
                <c:ptCount val="2"/>
                <c:pt idx="0">
                  <c:v>-0.27811527515291368</c:v>
                </c:pt>
                <c:pt idx="1">
                  <c:v>0</c:v>
                </c:pt>
              </c:numCache>
            </c:numRef>
          </c:xVal>
          <c:yVal>
            <c:numRef>
              <c:f>Tabelle1!$L$76:$M$76</c:f>
              <c:numCache>
                <c:formatCode>General</c:formatCode>
                <c:ptCount val="2"/>
                <c:pt idx="0">
                  <c:v>0.85595087109402446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18400"/>
        <c:axId val="80919936"/>
      </c:scatterChart>
      <c:valAx>
        <c:axId val="80918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80919936"/>
        <c:crosses val="autoZero"/>
        <c:crossBetween val="midCat"/>
        <c:majorUnit val="0.1"/>
      </c:valAx>
      <c:valAx>
        <c:axId val="80919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80918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 cstate="print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Stunden</c:v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Tabelle1!$E$106:$F$106</c:f>
              <c:numCache>
                <c:formatCode>General</c:formatCode>
                <c:ptCount val="2"/>
                <c:pt idx="0">
                  <c:v>-0.38889313758820765</c:v>
                </c:pt>
                <c:pt idx="1">
                  <c:v>0</c:v>
                </c:pt>
              </c:numCache>
            </c:numRef>
          </c:xVal>
          <c:yVal>
            <c:numRef>
              <c:f>Tabelle1!$E$107:$F$107</c:f>
              <c:numCache>
                <c:formatCode>General</c:formatCode>
                <c:ptCount val="2"/>
                <c:pt idx="0">
                  <c:v>0.31426442295748241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Minuten</c:v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Tabelle1!$E$111:$F$111</c:f>
              <c:numCache>
                <c:formatCode>General</c:formatCode>
                <c:ptCount val="2"/>
                <c:pt idx="0">
                  <c:v>0.85928471965127062</c:v>
                </c:pt>
                <c:pt idx="1">
                  <c:v>0</c:v>
                </c:pt>
              </c:numCache>
            </c:numRef>
          </c:xVal>
          <c:yVal>
            <c:numRef>
              <c:f>Tabelle1!$E$112:$F$112</c:f>
              <c:numCache>
                <c:formatCode>General</c:formatCode>
                <c:ptCount val="2"/>
                <c:pt idx="0">
                  <c:v>-0.2676373863529482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Sekunden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Tabelle1!$E$116:$F$116</c:f>
              <c:numCache>
                <c:formatCode>General</c:formatCode>
                <c:ptCount val="2"/>
                <c:pt idx="0">
                  <c:v>-0.60221756053009123</c:v>
                </c:pt>
                <c:pt idx="1">
                  <c:v>0</c:v>
                </c:pt>
              </c:numCache>
            </c:numRef>
          </c:xVal>
          <c:yVal>
            <c:numRef>
              <c:f>Tabelle1!$E$117:$F$117</c:f>
              <c:numCache>
                <c:formatCode>General</c:formatCode>
                <c:ptCount val="2"/>
                <c:pt idx="0">
                  <c:v>0.66883032959726474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86048"/>
        <c:axId val="83187584"/>
      </c:scatterChart>
      <c:valAx>
        <c:axId val="8318604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83187584"/>
        <c:crosses val="autoZero"/>
        <c:crossBetween val="midCat"/>
        <c:majorUnit val="0.1"/>
      </c:valAx>
      <c:valAx>
        <c:axId val="8318758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8318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 cstate="print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Stunden</c:v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Tabelle1!$L$106:$M$106</c:f>
              <c:numCache>
                <c:formatCode>General</c:formatCode>
                <c:ptCount val="2"/>
                <c:pt idx="0">
                  <c:v>-0.40446725114610982</c:v>
                </c:pt>
                <c:pt idx="1">
                  <c:v>0</c:v>
                </c:pt>
              </c:numCache>
            </c:numRef>
          </c:xVal>
          <c:yVal>
            <c:numRef>
              <c:f>Tabelle1!$L$107:$M$107</c:f>
              <c:numCache>
                <c:formatCode>General</c:formatCode>
                <c:ptCount val="2"/>
                <c:pt idx="0">
                  <c:v>0.29394938807609333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Minuten</c:v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Tabelle1!$L$111:$M$111</c:f>
              <c:numCache>
                <c:formatCode>General</c:formatCode>
                <c:ptCount val="2"/>
                <c:pt idx="0">
                  <c:v>0.85641798705912064</c:v>
                </c:pt>
                <c:pt idx="1">
                  <c:v>0</c:v>
                </c:pt>
              </c:numCache>
            </c:numRef>
          </c:xVal>
          <c:yVal>
            <c:numRef>
              <c:f>Tabelle1!$L$112:$M$112</c:f>
              <c:numCache>
                <c:formatCode>General</c:formatCode>
                <c:ptCount val="2"/>
                <c:pt idx="0">
                  <c:v>0.2766735105527886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Sekunden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Tabelle1!$L$116:$M$116</c:f>
              <c:numCache>
                <c:formatCode>General</c:formatCode>
                <c:ptCount val="2"/>
                <c:pt idx="0">
                  <c:v>9.0779434449720794E-2</c:v>
                </c:pt>
                <c:pt idx="1">
                  <c:v>0</c:v>
                </c:pt>
              </c:numCache>
            </c:numRef>
          </c:xVal>
          <c:yVal>
            <c:numRef>
              <c:f>Tabelle1!$L$117:$M$117</c:f>
              <c:numCache>
                <c:formatCode>General</c:formatCode>
                <c:ptCount val="2"/>
                <c:pt idx="0">
                  <c:v>0.89541001461955338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08832"/>
        <c:axId val="83247488"/>
      </c:scatterChart>
      <c:valAx>
        <c:axId val="8320883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83247488"/>
        <c:crosses val="autoZero"/>
        <c:crossBetween val="midCat"/>
        <c:majorUnit val="0.1"/>
      </c:valAx>
      <c:valAx>
        <c:axId val="8324748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83208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 cstate="print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19047</xdr:colOff>
      <xdr:row>21</xdr:row>
      <xdr:rowOff>28572</xdr:rowOff>
    </xdr:from>
    <xdr:to>
      <xdr:col>3</xdr:col>
      <xdr:colOff>298347</xdr:colOff>
      <xdr:row>31</xdr:row>
      <xdr:rowOff>180976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28577</xdr:colOff>
      <xdr:row>21</xdr:row>
      <xdr:rowOff>38100</xdr:rowOff>
    </xdr:from>
    <xdr:to>
      <xdr:col>18</xdr:col>
      <xdr:colOff>669827</xdr:colOff>
      <xdr:row>32</xdr:row>
      <xdr:rowOff>12600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761999</xdr:colOff>
      <xdr:row>21</xdr:row>
      <xdr:rowOff>0</xdr:rowOff>
    </xdr:from>
    <xdr:to>
      <xdr:col>7</xdr:col>
      <xdr:colOff>355499</xdr:colOff>
      <xdr:row>31</xdr:row>
      <xdr:rowOff>180975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21</xdr:row>
      <xdr:rowOff>9526</xdr:rowOff>
    </xdr:from>
    <xdr:to>
      <xdr:col>10</xdr:col>
      <xdr:colOff>355500</xdr:colOff>
      <xdr:row>31</xdr:row>
      <xdr:rowOff>174526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28573</xdr:colOff>
      <xdr:row>21</xdr:row>
      <xdr:rowOff>9526</xdr:rowOff>
    </xdr:from>
    <xdr:to>
      <xdr:col>14</xdr:col>
      <xdr:colOff>371474</xdr:colOff>
      <xdr:row>31</xdr:row>
      <xdr:rowOff>174526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15</xdr:col>
      <xdr:colOff>1314450</xdr:colOff>
      <xdr:row>5</xdr:row>
      <xdr:rowOff>9525</xdr:rowOff>
    </xdr:from>
    <xdr:ext cx="1604648" cy="682756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44450" y="1038225"/>
          <a:ext cx="1604648" cy="682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161927</xdr:rowOff>
    </xdr:from>
    <xdr:to>
      <xdr:col>3</xdr:col>
      <xdr:colOff>332228</xdr:colOff>
      <xdr:row>6</xdr:row>
      <xdr:rowOff>123824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66827"/>
          <a:ext cx="3084953" cy="15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10</xdr:row>
      <xdr:rowOff>38101</xdr:rowOff>
    </xdr:from>
    <xdr:to>
      <xdr:col>1</xdr:col>
      <xdr:colOff>447675</xdr:colOff>
      <xdr:row>11</xdr:row>
      <xdr:rowOff>161925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1"/>
          <a:ext cx="116205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197"/>
  <sheetViews>
    <sheetView showGridLines="0" showRowColHeaders="0" tabSelected="1" zoomScaleNormal="100" workbookViewId="0">
      <selection activeCell="C4" sqref="C4"/>
    </sheetView>
  </sheetViews>
  <sheetFormatPr baseColWidth="10" defaultRowHeight="15" x14ac:dyDescent="0.25"/>
  <cols>
    <col min="1" max="1" width="17.85546875" bestFit="1" customWidth="1"/>
    <col min="2" max="2" width="20.140625" customWidth="1"/>
    <col min="3" max="3" width="6.7109375" customWidth="1"/>
    <col min="4" max="4" width="11.42578125" customWidth="1"/>
    <col min="5" max="5" width="12.85546875" customWidth="1"/>
    <col min="6" max="6" width="6.28515625" customWidth="1"/>
    <col min="7" max="7" width="6.5703125" customWidth="1"/>
    <col min="8" max="8" width="16.7109375" customWidth="1"/>
    <col min="9" max="9" width="18.5703125" customWidth="1"/>
    <col min="10" max="10" width="7.140625" customWidth="1"/>
    <col min="11" max="11" width="9.42578125" customWidth="1"/>
    <col min="12" max="12" width="12.28515625" customWidth="1"/>
    <col min="13" max="13" width="7.140625" customWidth="1"/>
    <col min="14" max="14" width="6.85546875" customWidth="1"/>
    <col min="16" max="16" width="19.85546875" customWidth="1"/>
    <col min="17" max="17" width="11.7109375" customWidth="1"/>
    <col min="18" max="18" width="9.7109375" customWidth="1"/>
    <col min="19" max="19" width="12.5703125" bestFit="1" customWidth="1"/>
    <col min="20" max="20" width="7.7109375" customWidth="1"/>
    <col min="21" max="21" width="4" customWidth="1"/>
    <col min="22" max="22" width="3" customWidth="1"/>
    <col min="23" max="23" width="17.85546875" bestFit="1" customWidth="1"/>
    <col min="24" max="24" width="14.5703125" customWidth="1"/>
    <col min="26" max="26" width="15.140625" bestFit="1" customWidth="1"/>
    <col min="30" max="30" width="18" bestFit="1" customWidth="1"/>
    <col min="31" max="31" width="20.5703125" customWidth="1"/>
    <col min="36" max="36" width="11.42578125" customWidth="1"/>
    <col min="37" max="37" width="13.28515625" bestFit="1" customWidth="1"/>
    <col min="46" max="46" width="13.140625" customWidth="1"/>
    <col min="56" max="56" width="12.5703125" bestFit="1" customWidth="1"/>
  </cols>
  <sheetData>
    <row r="1" spans="1:42" x14ac:dyDescent="0.25">
      <c r="V1" s="102"/>
    </row>
    <row r="2" spans="1:42" ht="26.25" x14ac:dyDescent="0.4">
      <c r="A2" s="91"/>
      <c r="B2" s="48" t="s">
        <v>230</v>
      </c>
      <c r="G2" s="90"/>
      <c r="J2" s="104"/>
      <c r="V2" s="102"/>
    </row>
    <row r="3" spans="1:42" x14ac:dyDescent="0.25">
      <c r="A3" s="17"/>
      <c r="H3" t="s">
        <v>204</v>
      </c>
      <c r="I3" s="19"/>
      <c r="V3" s="102"/>
    </row>
    <row r="4" spans="1:42" x14ac:dyDescent="0.25">
      <c r="A4" s="17"/>
      <c r="B4" t="s">
        <v>211</v>
      </c>
      <c r="C4" s="110">
        <v>-2</v>
      </c>
      <c r="D4" t="s">
        <v>212</v>
      </c>
      <c r="E4" t="s">
        <v>213</v>
      </c>
      <c r="I4" s="19"/>
      <c r="V4" s="102"/>
    </row>
    <row r="5" spans="1:42" x14ac:dyDescent="0.25">
      <c r="A5" s="17"/>
      <c r="D5" s="94"/>
      <c r="I5" s="19"/>
      <c r="V5" s="102"/>
    </row>
    <row r="6" spans="1:42" s="16" customFormat="1" x14ac:dyDescent="0.25">
      <c r="A6" s="25"/>
      <c r="B6" t="s">
        <v>199</v>
      </c>
      <c r="C6" s="110">
        <v>2</v>
      </c>
      <c r="D6" t="s">
        <v>212</v>
      </c>
      <c r="E6" t="s">
        <v>233</v>
      </c>
      <c r="F6"/>
      <c r="G6"/>
      <c r="I6" s="21"/>
      <c r="V6" s="102"/>
    </row>
    <row r="7" spans="1:42" x14ac:dyDescent="0.25">
      <c r="A7" s="17"/>
      <c r="V7" s="102"/>
    </row>
    <row r="8" spans="1:42" x14ac:dyDescent="0.25">
      <c r="A8" s="17"/>
      <c r="B8" t="s">
        <v>202</v>
      </c>
      <c r="C8" s="111">
        <v>9</v>
      </c>
      <c r="D8" t="s">
        <v>157</v>
      </c>
      <c r="E8" s="111">
        <v>44</v>
      </c>
      <c r="F8" t="s">
        <v>203</v>
      </c>
      <c r="G8" s="111">
        <v>0</v>
      </c>
      <c r="H8" s="63" t="s">
        <v>204</v>
      </c>
      <c r="I8" s="108">
        <f>IF(C8&gt;0,C8+E8/60+G8/3600,C8-E8/60-G8/3600)</f>
        <v>9.7333333333333325</v>
      </c>
      <c r="L8" s="15" t="s">
        <v>35</v>
      </c>
      <c r="M8" s="15"/>
      <c r="N8" s="114" t="s">
        <v>235</v>
      </c>
      <c r="O8" s="115"/>
      <c r="V8" s="102"/>
    </row>
    <row r="9" spans="1:42" x14ac:dyDescent="0.25">
      <c r="L9" s="15" t="s">
        <v>31</v>
      </c>
      <c r="M9" s="15"/>
      <c r="N9" s="120">
        <f>N8+$C$4/24</f>
        <v>43660.402048611111</v>
      </c>
      <c r="O9" s="121"/>
      <c r="V9" s="102"/>
    </row>
    <row r="10" spans="1:42" x14ac:dyDescent="0.25">
      <c r="B10" t="s">
        <v>205</v>
      </c>
      <c r="C10" s="111">
        <v>52</v>
      </c>
      <c r="D10" s="63" t="s">
        <v>157</v>
      </c>
      <c r="E10" s="112">
        <v>22</v>
      </c>
      <c r="F10" s="63" t="s">
        <v>203</v>
      </c>
      <c r="G10" s="111">
        <v>40</v>
      </c>
      <c r="I10" s="107">
        <f>IF(C10&gt;0,C10+E10/60+G10/3600,C10-E10/60-G10/3600)</f>
        <v>52.37777777777778</v>
      </c>
      <c r="Q10" t="s">
        <v>234</v>
      </c>
      <c r="R10" s="20"/>
      <c r="V10" s="102"/>
    </row>
    <row r="11" spans="1:42" ht="16.5" customHeight="1" x14ac:dyDescent="0.35">
      <c r="B11" s="92"/>
      <c r="C11" s="93"/>
      <c r="I11" s="90"/>
      <c r="M11" s="35"/>
      <c r="R11" s="24"/>
      <c r="S11" s="16"/>
      <c r="T11" s="16"/>
      <c r="U11" s="16"/>
      <c r="V11" s="102"/>
      <c r="W11" s="16"/>
      <c r="X11" s="16"/>
      <c r="Y11" s="16"/>
      <c r="Z11" s="24"/>
      <c r="AA11" s="16"/>
      <c r="AB11" s="16"/>
      <c r="AC11" s="16"/>
      <c r="AD11" s="16"/>
      <c r="AE11" s="16"/>
      <c r="AF11" s="16"/>
      <c r="AG11" s="16"/>
      <c r="AH11" s="16"/>
      <c r="AI11" s="16"/>
      <c r="AL11" s="37"/>
      <c r="AM11" s="38"/>
      <c r="AN11" s="39"/>
      <c r="AO11" s="40"/>
      <c r="AP11" s="41"/>
    </row>
    <row r="12" spans="1:42" ht="12.75" customHeight="1" x14ac:dyDescent="0.35">
      <c r="A12" s="95"/>
      <c r="B12" s="96"/>
      <c r="C12" s="97"/>
      <c r="D12" s="95"/>
      <c r="E12" s="95"/>
      <c r="F12" s="95"/>
      <c r="G12" s="95"/>
      <c r="H12" s="95"/>
      <c r="I12" s="98"/>
      <c r="J12" s="95"/>
      <c r="K12" s="95"/>
      <c r="L12" s="95"/>
      <c r="M12" s="99"/>
      <c r="N12" s="95"/>
      <c r="O12" s="95"/>
      <c r="P12" s="95"/>
      <c r="Q12" s="95"/>
      <c r="R12" s="100"/>
      <c r="S12" s="100"/>
      <c r="T12" s="100"/>
      <c r="U12" s="100"/>
      <c r="V12" s="103"/>
      <c r="W12" s="16"/>
      <c r="X12" s="16"/>
      <c r="Y12" s="16"/>
      <c r="Z12" s="24"/>
      <c r="AA12" s="16"/>
      <c r="AB12" s="16"/>
      <c r="AC12" s="16"/>
      <c r="AD12" s="16"/>
      <c r="AE12" s="16"/>
      <c r="AF12" s="16"/>
      <c r="AG12" s="16"/>
      <c r="AH12" s="16"/>
      <c r="AI12" s="16"/>
      <c r="AL12" s="37"/>
      <c r="AM12" s="38"/>
      <c r="AN12" s="39"/>
      <c r="AO12" s="40"/>
      <c r="AP12" s="41"/>
    </row>
    <row r="13" spans="1:42" ht="16.5" customHeight="1" x14ac:dyDescent="0.35">
      <c r="B13" s="92"/>
      <c r="C13" s="93"/>
      <c r="I13" s="90"/>
      <c r="M13" s="35"/>
      <c r="R13" s="24"/>
      <c r="S13" s="16"/>
      <c r="T13" s="16"/>
      <c r="U13" s="16"/>
      <c r="V13" s="102"/>
      <c r="W13" s="16"/>
      <c r="X13" s="16"/>
      <c r="Y13" s="16"/>
      <c r="Z13" s="24"/>
      <c r="AA13" s="16"/>
      <c r="AB13" s="16"/>
      <c r="AC13" s="16"/>
      <c r="AD13" s="16"/>
      <c r="AE13" s="16"/>
      <c r="AF13" s="16"/>
      <c r="AG13" s="16"/>
      <c r="AH13" s="16"/>
      <c r="AI13" s="16"/>
      <c r="AL13" s="37"/>
      <c r="AM13" s="38"/>
      <c r="AN13" s="39"/>
      <c r="AO13" s="40"/>
      <c r="AP13" s="41"/>
    </row>
    <row r="14" spans="1:42" ht="18.75" customHeight="1" x14ac:dyDescent="0.35">
      <c r="B14" s="105" t="s">
        <v>47</v>
      </c>
      <c r="C14" s="93"/>
      <c r="E14" s="105" t="s">
        <v>41</v>
      </c>
      <c r="I14" s="105" t="s">
        <v>48</v>
      </c>
      <c r="L14" s="105" t="s">
        <v>207</v>
      </c>
      <c r="Q14" s="105" t="s">
        <v>220</v>
      </c>
      <c r="R14" s="24"/>
      <c r="S14" s="16"/>
      <c r="T14" s="16"/>
      <c r="U14" s="16"/>
      <c r="V14" s="102"/>
      <c r="W14" s="16"/>
      <c r="X14" s="16"/>
      <c r="Y14" s="16"/>
      <c r="Z14" s="24"/>
      <c r="AA14" s="16"/>
      <c r="AB14" s="16"/>
      <c r="AC14" s="16"/>
      <c r="AD14" s="16"/>
      <c r="AE14" s="16"/>
      <c r="AF14" s="16"/>
      <c r="AG14" s="16"/>
      <c r="AH14" s="16"/>
      <c r="AI14" s="16"/>
      <c r="AL14" s="37"/>
      <c r="AM14" s="38"/>
      <c r="AN14" s="39"/>
      <c r="AO14" s="40"/>
      <c r="AP14" s="41"/>
    </row>
    <row r="15" spans="1:42" x14ac:dyDescent="0.25">
      <c r="B15" s="16" t="s">
        <v>208</v>
      </c>
      <c r="C15" s="93"/>
      <c r="E15" s="16" t="s">
        <v>206</v>
      </c>
      <c r="I15" s="106" t="s">
        <v>229</v>
      </c>
      <c r="L15" t="s">
        <v>216</v>
      </c>
      <c r="Q15" t="s">
        <v>231</v>
      </c>
      <c r="R15" s="24"/>
      <c r="S15" s="16"/>
      <c r="T15" s="16"/>
      <c r="U15" s="16"/>
      <c r="V15" s="102"/>
      <c r="W15" s="16"/>
      <c r="X15" s="16"/>
      <c r="Y15" s="16"/>
      <c r="Z15" s="24"/>
      <c r="AA15" s="16"/>
      <c r="AB15" s="16"/>
      <c r="AC15" s="16"/>
      <c r="AD15" s="16"/>
      <c r="AE15" s="16"/>
      <c r="AF15" s="16"/>
      <c r="AG15" s="16"/>
      <c r="AH15" s="16"/>
      <c r="AI15" s="16"/>
      <c r="AL15" s="37"/>
      <c r="AM15" s="38"/>
      <c r="AN15" s="39"/>
      <c r="AO15" s="40"/>
      <c r="AP15" s="41"/>
    </row>
    <row r="16" spans="1:42" x14ac:dyDescent="0.25">
      <c r="B16" t="s">
        <v>226</v>
      </c>
      <c r="C16" s="93"/>
      <c r="E16" t="s">
        <v>228</v>
      </c>
      <c r="I16" t="s">
        <v>215</v>
      </c>
      <c r="L16" t="s">
        <v>174</v>
      </c>
      <c r="N16" s="8">
        <f ca="1">Tabelle3!E97</f>
        <v>-5.8672526585257554</v>
      </c>
      <c r="Q16" t="s">
        <v>218</v>
      </c>
      <c r="R16" s="24"/>
      <c r="S16" s="16"/>
      <c r="T16" s="16"/>
      <c r="U16" s="16"/>
      <c r="V16" s="102"/>
      <c r="W16" s="16"/>
      <c r="X16" s="16"/>
      <c r="Y16" s="16"/>
      <c r="Z16" s="24"/>
      <c r="AA16" s="16"/>
      <c r="AB16" s="16"/>
      <c r="AC16" s="16"/>
      <c r="AD16" s="16"/>
      <c r="AE16" s="16"/>
      <c r="AF16" s="16"/>
      <c r="AG16" s="16"/>
      <c r="AH16" s="16"/>
      <c r="AI16" s="16"/>
      <c r="AL16" s="37"/>
      <c r="AM16" s="38"/>
      <c r="AN16" s="39"/>
      <c r="AO16" s="40"/>
      <c r="AP16" s="41"/>
    </row>
    <row r="17" spans="1:42" x14ac:dyDescent="0.25">
      <c r="B17" s="92" t="s">
        <v>227</v>
      </c>
      <c r="C17" s="93"/>
      <c r="E17" t="s">
        <v>224</v>
      </c>
      <c r="I17" t="s">
        <v>217</v>
      </c>
      <c r="L17" t="s">
        <v>198</v>
      </c>
      <c r="N17" s="35">
        <f ca="1">Tabelle3!E117</f>
        <v>0.51870411064249466</v>
      </c>
      <c r="Q17" t="s">
        <v>232</v>
      </c>
      <c r="R17" s="24"/>
      <c r="S17" s="16"/>
      <c r="T17" s="16"/>
      <c r="U17" s="16"/>
      <c r="V17" s="102"/>
      <c r="W17" s="16"/>
      <c r="X17" s="16"/>
      <c r="Y17" s="16"/>
      <c r="Z17" s="24"/>
      <c r="AA17" s="16"/>
      <c r="AB17" s="16"/>
      <c r="AC17" s="16"/>
      <c r="AD17" s="16"/>
      <c r="AE17" s="16"/>
      <c r="AF17" s="16"/>
      <c r="AG17" s="16"/>
      <c r="AH17" s="16"/>
      <c r="AI17" s="16"/>
      <c r="AL17" s="37"/>
      <c r="AM17" s="38"/>
      <c r="AN17" s="39"/>
      <c r="AO17" s="40"/>
      <c r="AP17" s="41"/>
    </row>
    <row r="18" spans="1:42" ht="16.5" customHeight="1" x14ac:dyDescent="0.25">
      <c r="B18" s="92"/>
      <c r="C18" s="93"/>
      <c r="E18" t="s">
        <v>225</v>
      </c>
      <c r="I18" s="106" t="s">
        <v>222</v>
      </c>
      <c r="L18" t="s">
        <v>200</v>
      </c>
      <c r="N18" s="35">
        <f ca="1">Tabelle3!E121</f>
        <v>0.17973642926763231</v>
      </c>
      <c r="Q18" t="s">
        <v>219</v>
      </c>
      <c r="R18" s="24"/>
      <c r="S18" s="16"/>
      <c r="T18" s="16"/>
      <c r="U18" s="16"/>
      <c r="V18" s="102"/>
      <c r="W18" s="16"/>
      <c r="X18" s="16"/>
      <c r="Y18" s="16"/>
      <c r="Z18" s="24"/>
      <c r="AA18" s="16"/>
      <c r="AB18" s="16"/>
      <c r="AC18" s="16"/>
      <c r="AD18" s="16"/>
      <c r="AE18" s="16"/>
      <c r="AF18" s="16"/>
      <c r="AG18" s="16"/>
      <c r="AH18" s="16"/>
      <c r="AI18" s="16"/>
      <c r="AL18" s="37"/>
      <c r="AM18" s="38"/>
      <c r="AN18" s="39"/>
      <c r="AO18" s="40"/>
      <c r="AP18" s="41"/>
    </row>
    <row r="19" spans="1:42" ht="18.75" customHeight="1" x14ac:dyDescent="0.25">
      <c r="B19" s="92"/>
      <c r="C19" s="93"/>
      <c r="I19" s="106" t="s">
        <v>223</v>
      </c>
      <c r="L19" t="s">
        <v>201</v>
      </c>
      <c r="N19" s="35">
        <f ca="1">Tabelle3!E126</f>
        <v>0.85767179201735699</v>
      </c>
      <c r="Q19" t="s">
        <v>221</v>
      </c>
      <c r="R19" s="24"/>
      <c r="S19" s="16"/>
      <c r="T19" s="16"/>
      <c r="U19" s="16"/>
      <c r="V19" s="102"/>
      <c r="W19" s="16"/>
      <c r="X19" s="16"/>
      <c r="Y19" s="16"/>
      <c r="Z19" s="24"/>
      <c r="AA19" s="16"/>
      <c r="AB19" s="16"/>
      <c r="AC19" s="16"/>
      <c r="AD19" s="16"/>
      <c r="AE19" s="16"/>
      <c r="AF19" s="16"/>
      <c r="AG19" s="16"/>
      <c r="AH19" s="16"/>
      <c r="AI19" s="16"/>
      <c r="AL19" s="37"/>
      <c r="AM19" s="38"/>
      <c r="AN19" s="39"/>
      <c r="AO19" s="40"/>
      <c r="AP19" s="41"/>
    </row>
    <row r="20" spans="1:42" x14ac:dyDescent="0.25">
      <c r="R20" s="24"/>
      <c r="S20" s="16"/>
      <c r="T20" s="16"/>
      <c r="U20" s="16"/>
      <c r="V20" s="102"/>
      <c r="W20" s="16"/>
      <c r="X20" s="16"/>
      <c r="Y20" s="16"/>
      <c r="Z20" s="24"/>
      <c r="AA20" s="16"/>
      <c r="AB20" s="16"/>
      <c r="AC20" s="16"/>
      <c r="AD20" s="16"/>
      <c r="AE20" s="16"/>
      <c r="AF20" s="16"/>
      <c r="AG20" s="16"/>
      <c r="AH20" s="16"/>
      <c r="AI20" s="16"/>
      <c r="AL20" s="37"/>
      <c r="AM20" s="38"/>
      <c r="AN20" s="39"/>
      <c r="AO20" s="40"/>
      <c r="AP20" s="41"/>
    </row>
    <row r="21" spans="1:42" ht="18.75" x14ac:dyDescent="0.3">
      <c r="A21" s="15"/>
      <c r="B21" s="109" t="s">
        <v>209</v>
      </c>
      <c r="C21" s="15"/>
      <c r="D21" s="15"/>
      <c r="E21" s="109" t="s">
        <v>214</v>
      </c>
      <c r="F21" s="15"/>
      <c r="G21" s="15"/>
      <c r="H21" s="15"/>
      <c r="I21" s="109" t="s">
        <v>48</v>
      </c>
      <c r="J21" s="15"/>
      <c r="K21" s="15"/>
      <c r="L21" s="109" t="s">
        <v>210</v>
      </c>
      <c r="M21" s="15"/>
      <c r="N21" s="15"/>
      <c r="O21" s="15"/>
      <c r="P21" s="15"/>
      <c r="Q21" s="109" t="s">
        <v>36</v>
      </c>
      <c r="R21" s="15"/>
      <c r="S21" s="15"/>
      <c r="T21" s="15"/>
      <c r="U21" s="15"/>
      <c r="V21" s="102"/>
      <c r="W21" s="16"/>
      <c r="X21" s="25"/>
      <c r="Y21" s="16"/>
      <c r="Z21" s="26"/>
      <c r="AA21" s="16"/>
      <c r="AB21" s="16"/>
      <c r="AC21" s="16"/>
      <c r="AD21" s="31"/>
      <c r="AE21" s="16"/>
      <c r="AF21" s="16"/>
      <c r="AG21" s="16"/>
      <c r="AH21" s="16"/>
      <c r="AI21" s="16"/>
      <c r="AL21" s="37"/>
      <c r="AM21" s="38"/>
      <c r="AN21" s="39"/>
      <c r="AO21" s="40"/>
      <c r="AP21" s="41"/>
    </row>
    <row r="22" spans="1:42" x14ac:dyDescent="0.25">
      <c r="A22" s="15"/>
      <c r="B22" s="117"/>
      <c r="C22" s="11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02"/>
      <c r="W22" s="16"/>
      <c r="X22" s="16"/>
      <c r="Y22" s="16"/>
      <c r="Z22" s="27"/>
      <c r="AA22" s="16"/>
      <c r="AB22" s="16"/>
      <c r="AC22" s="16"/>
      <c r="AD22" s="36"/>
      <c r="AE22" s="16"/>
      <c r="AF22" s="16"/>
      <c r="AG22" s="16"/>
      <c r="AH22" s="16"/>
      <c r="AI22" s="16"/>
      <c r="AL22" s="37"/>
      <c r="AM22" s="38"/>
      <c r="AN22" s="39"/>
      <c r="AO22" s="40"/>
      <c r="AP22" s="41"/>
    </row>
    <row r="23" spans="1:42" x14ac:dyDescent="0.25">
      <c r="A23" s="15"/>
      <c r="B23" s="118"/>
      <c r="C23" s="1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02"/>
      <c r="W23" s="16"/>
      <c r="X23" s="2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L23" s="116"/>
      <c r="AM23" s="116"/>
      <c r="AN23" s="116"/>
      <c r="AO23" s="116"/>
      <c r="AP23" s="116"/>
    </row>
    <row r="24" spans="1:4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0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L24" s="37"/>
      <c r="AM24" s="38"/>
      <c r="AN24" s="39"/>
      <c r="AO24" s="40"/>
      <c r="AP24" s="41"/>
    </row>
    <row r="25" spans="1:42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71"/>
      <c r="V25" s="10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36"/>
      <c r="AI25" s="16"/>
      <c r="AL25" s="37"/>
      <c r="AM25" s="38"/>
      <c r="AN25" s="39"/>
      <c r="AO25" s="40"/>
      <c r="AP25" s="41"/>
    </row>
    <row r="26" spans="1:42" x14ac:dyDescent="0.25">
      <c r="A26" s="15"/>
      <c r="B26" s="4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1"/>
      <c r="V26" s="10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L26" s="37"/>
      <c r="AM26" s="38"/>
      <c r="AN26" s="39"/>
      <c r="AO26" s="40"/>
      <c r="AP26" s="41"/>
    </row>
    <row r="27" spans="1:42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2"/>
      <c r="W27" s="16"/>
      <c r="X27" s="1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L27" s="37"/>
      <c r="AM27" s="38"/>
      <c r="AN27" s="39"/>
      <c r="AO27" s="40"/>
      <c r="AP27" s="41"/>
    </row>
    <row r="28" spans="1:42" x14ac:dyDescent="0.25">
      <c r="A28" s="15"/>
      <c r="B28" s="15"/>
      <c r="C28" s="4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02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L28" s="116"/>
      <c r="AM28" s="116"/>
      <c r="AN28" s="116"/>
      <c r="AO28" s="116"/>
      <c r="AP28" s="116"/>
    </row>
    <row r="29" spans="1:42" x14ac:dyDescent="0.25">
      <c r="A29" s="15"/>
      <c r="B29" s="15"/>
      <c r="C29" s="4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02"/>
      <c r="W29" s="16"/>
      <c r="X29" s="16"/>
      <c r="Y29" s="16"/>
      <c r="Z29" s="42"/>
      <c r="AA29" s="16"/>
      <c r="AB29" s="16"/>
      <c r="AC29" s="16"/>
      <c r="AD29" s="16"/>
      <c r="AE29" s="16"/>
      <c r="AF29" s="16"/>
      <c r="AG29" s="16"/>
      <c r="AH29" s="16"/>
      <c r="AI29" s="16"/>
      <c r="AL29" s="37"/>
      <c r="AM29" s="38"/>
      <c r="AN29" s="39"/>
      <c r="AO29" s="40"/>
      <c r="AP29" s="41"/>
    </row>
    <row r="30" spans="1:4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02"/>
      <c r="W30" s="16"/>
      <c r="X30" s="16"/>
      <c r="Y30" s="16"/>
      <c r="Z30" s="16"/>
      <c r="AA30" s="30"/>
      <c r="AB30" s="16"/>
      <c r="AC30" s="16"/>
      <c r="AD30" s="16"/>
      <c r="AE30" s="16"/>
      <c r="AF30" s="16"/>
      <c r="AG30" s="16"/>
      <c r="AH30" s="16"/>
      <c r="AI30" s="16"/>
      <c r="AL30" s="37"/>
      <c r="AM30" s="38"/>
      <c r="AN30" s="39"/>
      <c r="AO30" s="40"/>
      <c r="AP30" s="41"/>
    </row>
    <row r="31" spans="1:42" x14ac:dyDescent="0.25">
      <c r="A31" s="15"/>
      <c r="B31" s="15"/>
      <c r="C31" s="46"/>
      <c r="D31" s="4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02"/>
      <c r="W31" s="16"/>
      <c r="X31" s="16"/>
      <c r="Y31" s="16"/>
      <c r="Z31" s="16"/>
      <c r="AA31" s="30"/>
      <c r="AB31" s="16"/>
      <c r="AC31" s="16"/>
      <c r="AD31" s="16"/>
      <c r="AE31" s="16"/>
      <c r="AF31" s="16"/>
      <c r="AG31" s="16"/>
      <c r="AH31" s="16"/>
      <c r="AI31" s="16"/>
      <c r="AL31" s="37"/>
      <c r="AM31" s="38"/>
      <c r="AN31" s="39"/>
      <c r="AO31" s="40"/>
      <c r="AP31" s="41"/>
    </row>
    <row r="32" spans="1:42" x14ac:dyDescent="0.25">
      <c r="A32" s="15"/>
      <c r="B32" s="15"/>
      <c r="C32" s="46"/>
      <c r="D32" s="4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0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L32" s="37"/>
      <c r="AM32" s="38"/>
      <c r="AN32" s="39"/>
      <c r="AO32" s="40"/>
      <c r="AP32" s="41"/>
    </row>
    <row r="33" spans="1:42" x14ac:dyDescent="0.25">
      <c r="A33" s="15"/>
      <c r="B33" s="15"/>
      <c r="C33" s="4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0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L33" s="37"/>
      <c r="AM33" s="38"/>
      <c r="AN33" s="39"/>
      <c r="AO33" s="40"/>
      <c r="AP33" s="41"/>
    </row>
    <row r="34" spans="1:42" ht="18.75" x14ac:dyDescent="0.25">
      <c r="A34" s="15"/>
      <c r="B34" s="33">
        <f ca="1">B47</f>
        <v>0.40204861111124046</v>
      </c>
      <c r="C34" s="15"/>
      <c r="D34" s="15"/>
      <c r="E34" s="33">
        <f ca="1">I47</f>
        <v>0.48538194444699911</v>
      </c>
      <c r="F34" s="15"/>
      <c r="G34" s="15"/>
      <c r="H34" s="15"/>
      <c r="I34" s="33">
        <f ca="1">B88</f>
        <v>0.42908564814570127</v>
      </c>
      <c r="J34" s="15"/>
      <c r="K34" s="15"/>
      <c r="L34" s="33">
        <f ca="1">I88</f>
        <v>0.42501116713538067</v>
      </c>
      <c r="M34" s="15"/>
      <c r="N34" s="15"/>
      <c r="O34" s="15"/>
      <c r="P34" s="15"/>
      <c r="Q34" s="33">
        <f>Q46</f>
        <v>0.24012016964568214</v>
      </c>
      <c r="R34" s="15"/>
      <c r="S34" s="15"/>
      <c r="T34" s="15"/>
      <c r="U34" s="15"/>
      <c r="V34" s="10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L34" s="37"/>
      <c r="AM34" s="38"/>
      <c r="AN34" s="39"/>
      <c r="AO34" s="40"/>
      <c r="AP34" s="41"/>
    </row>
    <row r="35" spans="1:42" x14ac:dyDescent="0.25">
      <c r="A35" s="15"/>
      <c r="B35" s="15"/>
      <c r="C35" s="4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02"/>
      <c r="W35" s="16"/>
      <c r="X35" s="16"/>
      <c r="Y35" s="16"/>
      <c r="Z35" s="16"/>
      <c r="AA35" s="16"/>
      <c r="AB35" s="16"/>
      <c r="AC35" s="16"/>
      <c r="AD35" s="31"/>
      <c r="AE35" s="16"/>
      <c r="AF35" s="16"/>
      <c r="AG35" s="16"/>
      <c r="AH35" s="16"/>
      <c r="AI35" s="16"/>
      <c r="AL35" s="116"/>
      <c r="AM35" s="116"/>
      <c r="AN35" s="116"/>
      <c r="AO35" s="116"/>
      <c r="AP35" s="116"/>
    </row>
    <row r="36" spans="1:42" ht="18" customHeight="1" x14ac:dyDescent="0.35">
      <c r="A36" s="16"/>
      <c r="B36" s="16"/>
      <c r="C36" s="87"/>
      <c r="D36" s="36"/>
      <c r="E36" s="16"/>
      <c r="F36" s="16"/>
      <c r="G36" s="16"/>
      <c r="H36" s="16"/>
      <c r="I36" s="16"/>
      <c r="J36" s="16"/>
      <c r="K36" s="16"/>
      <c r="L36" s="16"/>
      <c r="M36" s="88"/>
      <c r="N36" s="89"/>
      <c r="O36" s="16"/>
      <c r="P36" s="16"/>
      <c r="Q36" s="16"/>
      <c r="R36" s="16"/>
      <c r="S36" s="16"/>
      <c r="T36" s="16"/>
      <c r="U36" s="16"/>
      <c r="V36" s="102"/>
      <c r="W36" s="16"/>
      <c r="X36" s="16"/>
      <c r="Y36" s="16"/>
      <c r="Z36" s="16"/>
      <c r="AA36" s="16"/>
      <c r="AB36" s="16"/>
      <c r="AC36" s="16"/>
      <c r="AD36" s="36"/>
      <c r="AE36" s="16"/>
      <c r="AF36" s="16"/>
      <c r="AG36" s="16"/>
      <c r="AH36" s="16"/>
      <c r="AI36" s="16"/>
      <c r="AL36" s="37"/>
      <c r="AM36" s="38"/>
      <c r="AN36" s="39"/>
      <c r="AO36" s="40"/>
      <c r="AP36" s="41"/>
    </row>
    <row r="37" spans="1:42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  <c r="N37" s="96"/>
      <c r="O37" s="95"/>
      <c r="P37" s="95"/>
      <c r="Q37" s="95"/>
      <c r="R37" s="95"/>
      <c r="S37" s="95"/>
      <c r="T37" s="95"/>
      <c r="U37" s="95"/>
      <c r="V37" s="102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L37" s="37"/>
      <c r="AM37" s="38"/>
      <c r="AN37" s="39"/>
      <c r="AO37" s="40"/>
      <c r="AP37" s="41"/>
    </row>
    <row r="38" spans="1:42" x14ac:dyDescent="0.25">
      <c r="C38" s="35"/>
      <c r="D38" s="12"/>
      <c r="R38" s="16"/>
      <c r="S38" s="16"/>
      <c r="T38" s="16"/>
      <c r="U38" s="16"/>
      <c r="V38" s="10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42" x14ac:dyDescent="0.25">
      <c r="C39" s="35"/>
      <c r="D39" s="12"/>
      <c r="R39" s="16"/>
      <c r="S39" s="16"/>
      <c r="T39" s="16"/>
      <c r="U39" s="16"/>
      <c r="V39" s="10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42" ht="26.25" x14ac:dyDescent="0.4">
      <c r="A40" s="48" t="s">
        <v>44</v>
      </c>
      <c r="H40" s="48" t="s">
        <v>41</v>
      </c>
      <c r="K40" s="16"/>
      <c r="L40" s="16"/>
      <c r="M40" s="16"/>
      <c r="O40" s="48" t="s">
        <v>36</v>
      </c>
      <c r="V40" s="102"/>
    </row>
    <row r="41" spans="1:42" x14ac:dyDescent="0.25">
      <c r="B41" s="2"/>
      <c r="K41" s="16"/>
      <c r="L41" s="16"/>
      <c r="M41" s="16"/>
      <c r="Q41" s="14"/>
      <c r="V41" s="102"/>
    </row>
    <row r="42" spans="1:42" x14ac:dyDescent="0.25">
      <c r="A42" t="s">
        <v>45</v>
      </c>
      <c r="B42" s="49">
        <f>N9</f>
        <v>43660.402048611111</v>
      </c>
      <c r="H42" t="s">
        <v>46</v>
      </c>
      <c r="I42" s="49">
        <f>B42+C6/24</f>
        <v>43660.485381944447</v>
      </c>
      <c r="O42" t="s">
        <v>31</v>
      </c>
      <c r="Q42" s="113">
        <f>N9</f>
        <v>43660.402048611111</v>
      </c>
      <c r="V42" s="102"/>
    </row>
    <row r="43" spans="1:42" x14ac:dyDescent="0.25">
      <c r="V43" s="102"/>
    </row>
    <row r="44" spans="1:42" x14ac:dyDescent="0.25">
      <c r="A44" t="s">
        <v>1</v>
      </c>
      <c r="B44" s="1">
        <f ca="1">TODAY()</f>
        <v>43660</v>
      </c>
      <c r="H44" t="s">
        <v>1</v>
      </c>
      <c r="I44" s="1">
        <f ca="1">TODAY()</f>
        <v>43660</v>
      </c>
      <c r="O44" t="s">
        <v>29</v>
      </c>
      <c r="Q44" s="14">
        <f>Tabelle2!T6</f>
        <v>0.21308313260864509</v>
      </c>
      <c r="V44" s="102"/>
    </row>
    <row r="45" spans="1:42" x14ac:dyDescent="0.25">
      <c r="V45" s="102"/>
    </row>
    <row r="46" spans="1:42" x14ac:dyDescent="0.25">
      <c r="O46" t="s">
        <v>30</v>
      </c>
      <c r="Q46" s="14">
        <f>Tabelle2!Y6</f>
        <v>0.24012016964568214</v>
      </c>
      <c r="V46" s="102"/>
    </row>
    <row r="47" spans="1:42" x14ac:dyDescent="0.25">
      <c r="B47" s="1">
        <f ca="1">B42-B44</f>
        <v>0.40204861111124046</v>
      </c>
      <c r="I47" s="1">
        <f ca="1">I42-I44</f>
        <v>0.48538194444699911</v>
      </c>
      <c r="V47" s="102"/>
    </row>
    <row r="48" spans="1:42" x14ac:dyDescent="0.25">
      <c r="Q48" s="101">
        <f>Q46*24</f>
        <v>5.7628840714963712</v>
      </c>
      <c r="V48" s="102"/>
    </row>
    <row r="49" spans="1:22" x14ac:dyDescent="0.25">
      <c r="A49" t="s">
        <v>0</v>
      </c>
      <c r="B49" s="13">
        <f ca="1">B47</f>
        <v>0.40204861111124046</v>
      </c>
      <c r="H49" t="s">
        <v>0</v>
      </c>
      <c r="I49" s="13">
        <f ca="1">I47</f>
        <v>0.48538194444699911</v>
      </c>
      <c r="Q49" s="101"/>
      <c r="V49" s="102"/>
    </row>
    <row r="50" spans="1:22" x14ac:dyDescent="0.25">
      <c r="B50" s="13"/>
      <c r="I50" s="13"/>
      <c r="O50" t="s">
        <v>4</v>
      </c>
      <c r="Q50" s="101">
        <f>Q48-INT(Q48)</f>
        <v>0.76288407149637116</v>
      </c>
      <c r="V50" s="102"/>
    </row>
    <row r="51" spans="1:22" x14ac:dyDescent="0.25">
      <c r="A51" t="s">
        <v>2</v>
      </c>
      <c r="B51" s="13">
        <f ca="1">B49*24</f>
        <v>9.6491666666697711</v>
      </c>
      <c r="H51" t="s">
        <v>2</v>
      </c>
      <c r="I51" s="13">
        <f ca="1">I49*24</f>
        <v>11.649166666727979</v>
      </c>
      <c r="Q51" s="101"/>
      <c r="V51" s="102"/>
    </row>
    <row r="52" spans="1:22" x14ac:dyDescent="0.25">
      <c r="B52" s="13">
        <f ca="1">IF(B51&gt;12,B51-12,B51)</f>
        <v>9.6491666666697711</v>
      </c>
      <c r="I52" s="13">
        <f ca="1">IF(I51&gt;12,I51-12,I51)</f>
        <v>11.649166666727979</v>
      </c>
      <c r="O52" t="s">
        <v>3</v>
      </c>
      <c r="Q52" s="101">
        <f>Q50*60</f>
        <v>45.77304428978227</v>
      </c>
      <c r="V52" s="102"/>
    </row>
    <row r="53" spans="1:22" x14ac:dyDescent="0.25">
      <c r="B53" s="13"/>
      <c r="I53" s="13"/>
      <c r="Q53" s="101"/>
      <c r="V53" s="102"/>
    </row>
    <row r="54" spans="1:22" x14ac:dyDescent="0.25">
      <c r="B54" s="13"/>
      <c r="I54" s="13"/>
      <c r="O54" t="s">
        <v>5</v>
      </c>
      <c r="Q54" s="101">
        <f>Q52-INT(Q52)</f>
        <v>0.7730442897822698</v>
      </c>
      <c r="V54" s="102"/>
    </row>
    <row r="55" spans="1:22" x14ac:dyDescent="0.25">
      <c r="A55" t="s">
        <v>4</v>
      </c>
      <c r="B55" s="13">
        <f ca="1">B51-INT(B51)</f>
        <v>0.64916666666977108</v>
      </c>
      <c r="H55" t="s">
        <v>4</v>
      </c>
      <c r="I55" s="13">
        <f ca="1">I51-INT(I51)</f>
        <v>0.64916666672797874</v>
      </c>
      <c r="Q55" s="101"/>
      <c r="V55" s="102"/>
    </row>
    <row r="56" spans="1:22" x14ac:dyDescent="0.25">
      <c r="B56" s="13"/>
      <c r="I56" s="13"/>
      <c r="O56" t="s">
        <v>6</v>
      </c>
      <c r="Q56" s="101">
        <f>Q54*60</f>
        <v>46.382657386936188</v>
      </c>
      <c r="V56" s="102"/>
    </row>
    <row r="57" spans="1:22" x14ac:dyDescent="0.25">
      <c r="A57" t="s">
        <v>3</v>
      </c>
      <c r="B57" s="13">
        <f ca="1">B55*60</f>
        <v>38.950000000186265</v>
      </c>
      <c r="H57" t="s">
        <v>3</v>
      </c>
      <c r="I57" s="13">
        <f ca="1">I55*60</f>
        <v>38.950000003678724</v>
      </c>
      <c r="V57" s="102"/>
    </row>
    <row r="58" spans="1:22" x14ac:dyDescent="0.25">
      <c r="B58" s="13"/>
      <c r="I58" s="13"/>
      <c r="V58" s="102"/>
    </row>
    <row r="59" spans="1:22" x14ac:dyDescent="0.25">
      <c r="A59" t="s">
        <v>5</v>
      </c>
      <c r="B59" s="13">
        <f ca="1">B57-INT(B57)</f>
        <v>0.95000000018626451</v>
      </c>
      <c r="H59" t="s">
        <v>5</v>
      </c>
      <c r="I59" s="13">
        <f ca="1">I57-INT(I57)</f>
        <v>0.95000000367872417</v>
      </c>
      <c r="V59" s="102"/>
    </row>
    <row r="60" spans="1:22" x14ac:dyDescent="0.25">
      <c r="B60" s="13"/>
      <c r="I60" s="13"/>
      <c r="V60" s="102"/>
    </row>
    <row r="61" spans="1:22" x14ac:dyDescent="0.25">
      <c r="A61" t="s">
        <v>6</v>
      </c>
      <c r="B61" s="13">
        <f ca="1">B59*60</f>
        <v>57.000000011175871</v>
      </c>
      <c r="H61" t="s">
        <v>6</v>
      </c>
      <c r="I61" s="13">
        <f ca="1">I59*60</f>
        <v>57.00000022072345</v>
      </c>
      <c r="V61" s="102"/>
    </row>
    <row r="62" spans="1:22" x14ac:dyDescent="0.25">
      <c r="V62" s="102"/>
    </row>
    <row r="63" spans="1:22" x14ac:dyDescent="0.25">
      <c r="V63" s="102"/>
    </row>
    <row r="64" spans="1:22" x14ac:dyDescent="0.25">
      <c r="A64" s="3" t="s">
        <v>7</v>
      </c>
      <c r="H64" s="3" t="s">
        <v>7</v>
      </c>
      <c r="O64" s="3" t="s">
        <v>32</v>
      </c>
      <c r="P64" s="3"/>
      <c r="V64" s="102"/>
    </row>
    <row r="65" spans="1:23" x14ac:dyDescent="0.25">
      <c r="A65">
        <f ca="1">B52/12*360</f>
        <v>289.47500000009313</v>
      </c>
      <c r="B65">
        <v>0</v>
      </c>
      <c r="D65" t="s">
        <v>8</v>
      </c>
      <c r="E65" s="15">
        <f ca="1">SIN(RADIANS(A65))*0.5</f>
        <v>-0.47139352603659102</v>
      </c>
      <c r="F65" s="15">
        <v>0</v>
      </c>
      <c r="H65">
        <f ca="1">I52/12*360</f>
        <v>349.47500000183936</v>
      </c>
      <c r="I65">
        <v>0</v>
      </c>
      <c r="K65" t="s">
        <v>8</v>
      </c>
      <c r="L65" s="15">
        <f ca="1">SIN(RADIANS(H65))*0.5</f>
        <v>-9.133226699376025E-2</v>
      </c>
      <c r="M65" s="15">
        <v>0</v>
      </c>
      <c r="O65" s="13">
        <f>Q48/24*360</f>
        <v>86.443261072445566</v>
      </c>
      <c r="P65">
        <v>0</v>
      </c>
      <c r="R65" t="s">
        <v>8</v>
      </c>
      <c r="S65" s="15">
        <f>SIN(RADIANS(O65))*0.6</f>
        <v>0.59884431228188661</v>
      </c>
      <c r="T65" s="15">
        <v>0</v>
      </c>
      <c r="V65" s="102"/>
    </row>
    <row r="66" spans="1:23" x14ac:dyDescent="0.25">
      <c r="A66">
        <v>360</v>
      </c>
      <c r="B66">
        <v>0</v>
      </c>
      <c r="D66" t="s">
        <v>9</v>
      </c>
      <c r="E66" s="15">
        <f ca="1">COS(RADIANS(A65))*0.5</f>
        <v>0.16669776126508054</v>
      </c>
      <c r="F66" s="15">
        <v>0</v>
      </c>
      <c r="H66">
        <v>360</v>
      </c>
      <c r="I66">
        <v>0</v>
      </c>
      <c r="K66" t="s">
        <v>9</v>
      </c>
      <c r="L66" s="15">
        <f ca="1">COS(RADIANS(H65))*0.5</f>
        <v>0.4915876493625328</v>
      </c>
      <c r="M66" s="15">
        <v>0</v>
      </c>
      <c r="O66">
        <v>360</v>
      </c>
      <c r="P66">
        <v>0</v>
      </c>
      <c r="R66" t="s">
        <v>9</v>
      </c>
      <c r="S66" s="15">
        <f>COS(RADIANS(O65))*0.6</f>
        <v>3.7222166079290256E-2</v>
      </c>
      <c r="T66" s="15">
        <v>0</v>
      </c>
      <c r="V66" s="102"/>
    </row>
    <row r="67" spans="1:23" x14ac:dyDescent="0.25">
      <c r="V67" s="102"/>
    </row>
    <row r="68" spans="1:23" x14ac:dyDescent="0.25">
      <c r="V68" s="102"/>
    </row>
    <row r="69" spans="1:23" x14ac:dyDescent="0.25">
      <c r="A69" s="3" t="s">
        <v>10</v>
      </c>
      <c r="H69" s="3" t="s">
        <v>10</v>
      </c>
      <c r="O69" s="18" t="s">
        <v>33</v>
      </c>
      <c r="P69" s="18"/>
      <c r="Q69" s="18"/>
      <c r="V69" s="102"/>
    </row>
    <row r="70" spans="1:23" x14ac:dyDescent="0.25">
      <c r="A70">
        <f ca="1">B55*360</f>
        <v>233.70000000111759</v>
      </c>
      <c r="B70">
        <v>360</v>
      </c>
      <c r="D70" t="s">
        <v>8</v>
      </c>
      <c r="E70" s="15">
        <f ca="1">SIN(RADIANS(A70))*0.9</f>
        <v>-0.72533545403405697</v>
      </c>
      <c r="F70" s="15">
        <v>0</v>
      </c>
      <c r="H70">
        <f ca="1">I55*360</f>
        <v>233.70000002207235</v>
      </c>
      <c r="I70">
        <v>360</v>
      </c>
      <c r="K70" t="s">
        <v>8</v>
      </c>
      <c r="L70" s="15">
        <f ca="1">SIN(RADIANS(H70))*0.9</f>
        <v>-0.72533545422892209</v>
      </c>
      <c r="M70" s="15">
        <v>0</v>
      </c>
      <c r="O70" s="13">
        <f>Q52/60*360</f>
        <v>274.63826573869363</v>
      </c>
      <c r="P70">
        <v>360</v>
      </c>
      <c r="R70" t="s">
        <v>8</v>
      </c>
      <c r="S70" s="15">
        <f>SIN(RADIANS(O70))*1</f>
        <v>-0.99672509425333478</v>
      </c>
      <c r="T70" s="15">
        <v>0</v>
      </c>
      <c r="V70" s="102"/>
    </row>
    <row r="71" spans="1:23" x14ac:dyDescent="0.25">
      <c r="A71">
        <v>0</v>
      </c>
      <c r="B71">
        <v>0</v>
      </c>
      <c r="D71" t="s">
        <v>9</v>
      </c>
      <c r="E71" s="15">
        <f ca="1">COS(RADIANS(A70))*0.9</f>
        <v>-0.53281186090514965</v>
      </c>
      <c r="F71" s="15">
        <v>0</v>
      </c>
      <c r="H71">
        <v>0</v>
      </c>
      <c r="I71">
        <v>0</v>
      </c>
      <c r="K71" t="s">
        <v>9</v>
      </c>
      <c r="L71" s="15">
        <f ca="1">COS(RADIANS(H70))*0.9</f>
        <v>-0.53281186063987296</v>
      </c>
      <c r="M71" s="15">
        <v>0</v>
      </c>
      <c r="O71">
        <v>0</v>
      </c>
      <c r="P71">
        <v>0</v>
      </c>
      <c r="R71" t="s">
        <v>9</v>
      </c>
      <c r="S71" s="15">
        <f>COS(RADIANS(O70))*1</f>
        <v>8.0864618255952245E-2</v>
      </c>
      <c r="T71" s="15">
        <v>0</v>
      </c>
      <c r="V71" s="102"/>
    </row>
    <row r="72" spans="1:23" x14ac:dyDescent="0.25">
      <c r="V72" s="102"/>
    </row>
    <row r="73" spans="1:23" x14ac:dyDescent="0.25">
      <c r="V73" s="102"/>
    </row>
    <row r="74" spans="1:23" x14ac:dyDescent="0.25">
      <c r="A74" s="3" t="s">
        <v>11</v>
      </c>
      <c r="H74" s="3" t="s">
        <v>11</v>
      </c>
      <c r="O74" s="3" t="s">
        <v>34</v>
      </c>
      <c r="V74" s="102"/>
    </row>
    <row r="75" spans="1:23" x14ac:dyDescent="0.25">
      <c r="A75">
        <f ca="1">B59*360</f>
        <v>342.00000006705523</v>
      </c>
      <c r="B75">
        <v>360</v>
      </c>
      <c r="D75" t="s">
        <v>8</v>
      </c>
      <c r="E75" s="15">
        <f ca="1">SIN(RADIANS(A75))*0.9</f>
        <v>-0.27811529393570367</v>
      </c>
      <c r="F75" s="15">
        <v>0</v>
      </c>
      <c r="H75">
        <f ca="1">I59*360</f>
        <v>342.0000013243407</v>
      </c>
      <c r="I75">
        <v>360</v>
      </c>
      <c r="K75" t="s">
        <v>8</v>
      </c>
      <c r="L75" s="15">
        <f ca="1">SIN(RADIANS(H75))*0.9</f>
        <v>-0.27811527515291368</v>
      </c>
      <c r="M75" s="15">
        <v>0</v>
      </c>
      <c r="O75" s="13">
        <f>Q56/60*360</f>
        <v>278.29594432161713</v>
      </c>
      <c r="P75">
        <v>360</v>
      </c>
      <c r="R75" t="s">
        <v>8</v>
      </c>
      <c r="S75" s="15">
        <f>SIN(RADIANS(O75))*1</f>
        <v>-0.98953600483514481</v>
      </c>
      <c r="T75" s="15">
        <v>0</v>
      </c>
      <c r="V75" s="102"/>
    </row>
    <row r="76" spans="1:23" x14ac:dyDescent="0.25">
      <c r="A76">
        <v>0</v>
      </c>
      <c r="B76">
        <v>0</v>
      </c>
      <c r="D76" t="s">
        <v>9</v>
      </c>
      <c r="E76" s="15">
        <f ca="1">COS(RADIANS(A75))*0.9</f>
        <v>0.85595086499112627</v>
      </c>
      <c r="F76" s="15">
        <v>0</v>
      </c>
      <c r="H76">
        <v>0</v>
      </c>
      <c r="I76">
        <v>0</v>
      </c>
      <c r="K76" t="s">
        <v>9</v>
      </c>
      <c r="L76" s="15">
        <f ca="1">COS(RADIANS(H75))*0.9</f>
        <v>0.85595087109402446</v>
      </c>
      <c r="M76" s="15">
        <v>0</v>
      </c>
      <c r="O76">
        <v>0</v>
      </c>
      <c r="P76">
        <v>0</v>
      </c>
      <c r="R76" t="s">
        <v>9</v>
      </c>
      <c r="S76" s="15">
        <f>COS(RADIANS(O75))*1</f>
        <v>0.14428615711460396</v>
      </c>
      <c r="T76" s="15">
        <v>0</v>
      </c>
      <c r="V76" s="102"/>
    </row>
    <row r="77" spans="1:23" x14ac:dyDescent="0.25">
      <c r="O77" s="16"/>
      <c r="V77" s="102"/>
      <c r="W77" s="16"/>
    </row>
    <row r="78" spans="1:23" x14ac:dyDescent="0.25">
      <c r="O78" s="16"/>
      <c r="V78" s="102"/>
      <c r="W78" s="16"/>
    </row>
    <row r="79" spans="1:23" x14ac:dyDescent="0.25">
      <c r="O79" s="16"/>
      <c r="V79" s="102"/>
      <c r="W79" s="16"/>
    </row>
    <row r="80" spans="1:23" x14ac:dyDescent="0.25">
      <c r="O80" s="16"/>
      <c r="V80" s="102"/>
      <c r="W80" s="16"/>
    </row>
    <row r="81" spans="1:34" ht="26.25" x14ac:dyDescent="0.4">
      <c r="A81" s="48" t="s">
        <v>195</v>
      </c>
      <c r="D81" s="16"/>
      <c r="E81" s="16"/>
      <c r="F81" s="16"/>
      <c r="G81" s="16"/>
      <c r="H81" s="48" t="s">
        <v>42</v>
      </c>
      <c r="K81" s="16"/>
      <c r="L81" s="16"/>
      <c r="M81" s="16"/>
      <c r="O81" s="16"/>
      <c r="V81" s="102"/>
      <c r="W81" s="16"/>
    </row>
    <row r="82" spans="1:34" x14ac:dyDescent="0.25">
      <c r="D82" s="16"/>
      <c r="E82" s="16"/>
      <c r="F82" s="16"/>
      <c r="G82" s="16"/>
      <c r="K82" s="16"/>
      <c r="L82" s="16"/>
      <c r="M82" s="16"/>
      <c r="O82" s="16"/>
      <c r="V82" s="102"/>
      <c r="W82" s="16"/>
    </row>
    <row r="83" spans="1:34" x14ac:dyDescent="0.25">
      <c r="A83" t="s">
        <v>196</v>
      </c>
      <c r="B83" s="49">
        <f>B42+I8/15/24</f>
        <v>43660.429085648146</v>
      </c>
      <c r="G83" s="16"/>
      <c r="H83" t="s">
        <v>197</v>
      </c>
      <c r="I83" s="49">
        <f ca="1">B42+I8/15/24+N16/60/24</f>
        <v>43660.425011167135</v>
      </c>
      <c r="O83" s="16"/>
      <c r="V83" s="102"/>
      <c r="W83" s="16"/>
    </row>
    <row r="84" spans="1:34" x14ac:dyDescent="0.25">
      <c r="G84" s="16"/>
      <c r="O84" s="16"/>
      <c r="V84" s="102"/>
      <c r="W84" s="16"/>
    </row>
    <row r="85" spans="1:34" x14ac:dyDescent="0.25">
      <c r="A85" t="s">
        <v>1</v>
      </c>
      <c r="B85" s="1">
        <f ca="1">TODAY()</f>
        <v>43660</v>
      </c>
      <c r="G85" s="16"/>
      <c r="H85" t="s">
        <v>1</v>
      </c>
      <c r="I85" s="1">
        <f ca="1">TODAY()</f>
        <v>43660</v>
      </c>
      <c r="O85" s="16"/>
      <c r="V85" s="102"/>
      <c r="W85" s="16"/>
    </row>
    <row r="86" spans="1:34" x14ac:dyDescent="0.25">
      <c r="G86" s="31"/>
      <c r="O86" s="16"/>
      <c r="V86" s="102"/>
      <c r="W86" s="16"/>
    </row>
    <row r="87" spans="1:34" x14ac:dyDescent="0.25">
      <c r="G87" s="16"/>
      <c r="O87" s="16"/>
      <c r="V87" s="102"/>
      <c r="W87" s="16"/>
    </row>
    <row r="88" spans="1:34" x14ac:dyDescent="0.25">
      <c r="B88" s="1">
        <f ca="1">B83-B85</f>
        <v>0.42908564814570127</v>
      </c>
      <c r="G88" s="32"/>
      <c r="I88" s="1">
        <f ca="1">I83-I85</f>
        <v>0.42501116713538067</v>
      </c>
      <c r="O88" s="16"/>
      <c r="V88" s="102"/>
      <c r="W88" s="16"/>
    </row>
    <row r="89" spans="1:34" x14ac:dyDescent="0.25">
      <c r="G89" s="43"/>
      <c r="O89" s="16"/>
      <c r="V89" s="102"/>
      <c r="W89" s="16"/>
    </row>
    <row r="90" spans="1:34" x14ac:dyDescent="0.25">
      <c r="A90" t="s">
        <v>0</v>
      </c>
      <c r="B90" s="13">
        <f ca="1">B88</f>
        <v>0.42908564814570127</v>
      </c>
      <c r="G90" s="16"/>
      <c r="H90" t="s">
        <v>0</v>
      </c>
      <c r="I90" s="13">
        <f ca="1">I88</f>
        <v>0.42501116713538067</v>
      </c>
      <c r="O90" s="16"/>
      <c r="V90" s="102"/>
      <c r="W90" s="16"/>
    </row>
    <row r="91" spans="1:34" x14ac:dyDescent="0.25">
      <c r="B91" s="13"/>
      <c r="G91" s="32"/>
      <c r="I91" s="13"/>
      <c r="O91" s="16"/>
      <c r="V91" s="102"/>
      <c r="W91" s="16"/>
      <c r="X91" s="16"/>
      <c r="Y91" s="16"/>
      <c r="Z91" s="16"/>
      <c r="AA91" s="16"/>
      <c r="AB91" s="16"/>
    </row>
    <row r="92" spans="1:34" x14ac:dyDescent="0.25">
      <c r="A92" t="s">
        <v>2</v>
      </c>
      <c r="B92" s="13">
        <f ca="1">B90*24</f>
        <v>10.29805555549683</v>
      </c>
      <c r="G92" s="16"/>
      <c r="H92" t="s">
        <v>2</v>
      </c>
      <c r="I92" s="13">
        <f ca="1">I90*24</f>
        <v>10.200268011249136</v>
      </c>
      <c r="O92" s="16"/>
      <c r="V92" s="102"/>
      <c r="W92" s="16"/>
      <c r="X92" s="16"/>
      <c r="Y92" s="16"/>
      <c r="Z92" s="16"/>
      <c r="AA92" s="16"/>
      <c r="AB92" s="16"/>
    </row>
    <row r="93" spans="1:34" x14ac:dyDescent="0.25">
      <c r="B93" s="13">
        <f ca="1">IF(B92&gt;12,B92-12,B92)</f>
        <v>10.29805555549683</v>
      </c>
      <c r="G93" s="16"/>
      <c r="I93" s="13">
        <f ca="1">IF(I92&gt;12,I92-12,I92)</f>
        <v>10.200268011249136</v>
      </c>
      <c r="U93" s="16"/>
      <c r="V93" s="102"/>
      <c r="W93" s="29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B94" s="13"/>
      <c r="G94" s="32"/>
      <c r="I94" s="13"/>
      <c r="U94" s="16"/>
      <c r="V94" s="102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B95" s="13"/>
      <c r="G95" s="32"/>
      <c r="I95" s="13"/>
      <c r="R95" s="16"/>
      <c r="S95" s="16"/>
      <c r="T95" s="16"/>
      <c r="U95" s="16"/>
      <c r="V95" s="102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t="s">
        <v>4</v>
      </c>
      <c r="B96" s="13">
        <f ca="1">B92-INT(B92)</f>
        <v>0.29805555549683049</v>
      </c>
      <c r="G96" s="16"/>
      <c r="H96" t="s">
        <v>4</v>
      </c>
      <c r="I96" s="13">
        <f ca="1">I92-INT(I92)</f>
        <v>0.20026801124913618</v>
      </c>
      <c r="R96" s="16"/>
      <c r="S96" s="16"/>
      <c r="T96" s="16"/>
      <c r="U96" s="16"/>
      <c r="V96" s="102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B97" s="13"/>
      <c r="G97" s="16"/>
      <c r="I97" s="13"/>
      <c r="R97" s="16"/>
      <c r="S97" s="16"/>
      <c r="T97" s="16"/>
      <c r="U97" s="16"/>
      <c r="V97" s="102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t="s">
        <v>3</v>
      </c>
      <c r="B98" s="13">
        <f ca="1">B96*60</f>
        <v>17.88333332980983</v>
      </c>
      <c r="G98" s="16"/>
      <c r="H98" t="s">
        <v>3</v>
      </c>
      <c r="I98" s="13">
        <f ca="1">I96*60</f>
        <v>12.016080674948171</v>
      </c>
      <c r="R98" s="16"/>
      <c r="S98" s="16"/>
      <c r="T98" s="16"/>
      <c r="U98" s="16"/>
      <c r="V98" s="102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B99" s="13"/>
      <c r="G99" s="16"/>
      <c r="I99" s="13"/>
      <c r="R99" s="16"/>
      <c r="S99" s="16"/>
      <c r="T99" s="16"/>
      <c r="U99" s="16"/>
      <c r="V99" s="102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t="s">
        <v>5</v>
      </c>
      <c r="B100" s="13">
        <f ca="1">B98-INT(B98)</f>
        <v>0.88333332980982959</v>
      </c>
      <c r="G100" s="16"/>
      <c r="H100" t="s">
        <v>5</v>
      </c>
      <c r="I100" s="13">
        <f ca="1">I98-INT(I98)</f>
        <v>1.6080674948170781E-2</v>
      </c>
      <c r="R100" s="16"/>
      <c r="S100" s="16"/>
      <c r="T100" s="16"/>
      <c r="U100" s="16"/>
      <c r="V100" s="102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B101" s="13"/>
      <c r="G101" s="16"/>
      <c r="I101" s="13"/>
      <c r="R101" s="16"/>
      <c r="S101" s="16"/>
      <c r="T101" s="16"/>
      <c r="U101" s="16"/>
      <c r="V101" s="102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t="s">
        <v>6</v>
      </c>
      <c r="B102" s="13">
        <f ca="1">B100*60</f>
        <v>52.999999788589776</v>
      </c>
      <c r="G102" s="16"/>
      <c r="H102" t="s">
        <v>6</v>
      </c>
      <c r="I102" s="13">
        <f ca="1">I100*60</f>
        <v>0.96484049689024687</v>
      </c>
      <c r="R102" s="16"/>
      <c r="S102" s="16"/>
      <c r="T102" s="16"/>
      <c r="U102" s="16"/>
      <c r="V102" s="102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G103" s="16"/>
      <c r="R103" s="16"/>
      <c r="S103" s="16"/>
      <c r="T103" s="16"/>
      <c r="U103" s="16"/>
      <c r="V103" s="102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G104" s="16"/>
      <c r="R104" s="16"/>
      <c r="S104" s="16"/>
      <c r="T104" s="16"/>
      <c r="U104" s="16"/>
      <c r="V104" s="102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3" t="s">
        <v>7</v>
      </c>
      <c r="G105" s="16"/>
      <c r="H105" s="3" t="s">
        <v>7</v>
      </c>
      <c r="R105" s="16"/>
      <c r="S105" s="16"/>
      <c r="T105" s="16"/>
      <c r="U105" s="16"/>
      <c r="V105" s="102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>
        <f ca="1">B93/12*360</f>
        <v>308.94166666490491</v>
      </c>
      <c r="B106">
        <v>0</v>
      </c>
      <c r="D106" t="s">
        <v>8</v>
      </c>
      <c r="E106" s="15">
        <f ca="1">SIN(RADIANS(A106))*0.5</f>
        <v>-0.38889313758820765</v>
      </c>
      <c r="F106" s="15">
        <v>0</v>
      </c>
      <c r="G106" s="16"/>
      <c r="H106">
        <f ca="1">I93/12*360</f>
        <v>306.00804033747409</v>
      </c>
      <c r="I106">
        <v>0</v>
      </c>
      <c r="K106" t="s">
        <v>8</v>
      </c>
      <c r="L106" s="15">
        <f ca="1">SIN(RADIANS(H106))*0.5</f>
        <v>-0.40446725114610982</v>
      </c>
      <c r="M106" s="15">
        <v>0</v>
      </c>
      <c r="R106" s="16"/>
      <c r="S106" s="16"/>
      <c r="T106" s="16"/>
      <c r="U106" s="16"/>
      <c r="V106" s="102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>
        <v>360</v>
      </c>
      <c r="B107">
        <v>0</v>
      </c>
      <c r="D107" t="s">
        <v>9</v>
      </c>
      <c r="E107" s="15">
        <f ca="1">COS(RADIANS(A106))*0.5</f>
        <v>0.31426442295748241</v>
      </c>
      <c r="F107" s="15">
        <v>0</v>
      </c>
      <c r="G107" s="16"/>
      <c r="H107">
        <v>360</v>
      </c>
      <c r="I107">
        <v>0</v>
      </c>
      <c r="K107" t="s">
        <v>9</v>
      </c>
      <c r="L107" s="15">
        <f ca="1">COS(RADIANS(H106))*0.5</f>
        <v>0.29394938807609333</v>
      </c>
      <c r="M107" s="15">
        <v>0</v>
      </c>
      <c r="R107" s="16"/>
      <c r="S107" s="16"/>
      <c r="T107" s="16"/>
      <c r="U107" s="16"/>
      <c r="V107" s="102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G108" s="16"/>
      <c r="R108" s="16"/>
      <c r="S108" s="16"/>
      <c r="T108" s="16"/>
      <c r="U108" s="16"/>
      <c r="V108" s="102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G109" s="16"/>
      <c r="R109" s="16"/>
      <c r="S109" s="16"/>
      <c r="T109" s="16"/>
      <c r="U109" s="16"/>
      <c r="V109" s="102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3" t="s">
        <v>10</v>
      </c>
      <c r="G110" s="16"/>
      <c r="H110" s="3" t="s">
        <v>10</v>
      </c>
      <c r="R110" s="16"/>
      <c r="S110" s="16"/>
      <c r="T110" s="16"/>
      <c r="U110" s="16"/>
      <c r="V110" s="102"/>
      <c r="W110" s="31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>
        <f ca="1">B96*360</f>
        <v>107.29999997885898</v>
      </c>
      <c r="B111">
        <v>360</v>
      </c>
      <c r="D111" t="s">
        <v>8</v>
      </c>
      <c r="E111" s="15">
        <f ca="1">SIN(RADIANS(A111))*0.9</f>
        <v>0.85928471965127062</v>
      </c>
      <c r="F111" s="15">
        <v>0</v>
      </c>
      <c r="G111" s="16"/>
      <c r="H111">
        <f ca="1">I96*360</f>
        <v>72.096484049689025</v>
      </c>
      <c r="I111">
        <v>360</v>
      </c>
      <c r="K111" t="s">
        <v>8</v>
      </c>
      <c r="L111" s="15">
        <f ca="1">SIN(RADIANS(H111))*0.9</f>
        <v>0.85641798705912064</v>
      </c>
      <c r="M111" s="15">
        <v>0</v>
      </c>
      <c r="R111" s="16"/>
      <c r="S111" s="16"/>
      <c r="T111" s="16"/>
      <c r="U111" s="16"/>
      <c r="V111" s="102"/>
      <c r="W111" s="29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>
        <v>0</v>
      </c>
      <c r="B112">
        <v>0</v>
      </c>
      <c r="D112" t="s">
        <v>9</v>
      </c>
      <c r="E112" s="15">
        <f ca="1">COS(RADIANS(A111))*0.9</f>
        <v>-0.2676373863529482</v>
      </c>
      <c r="F112" s="15">
        <v>0</v>
      </c>
      <c r="G112" s="16"/>
      <c r="H112">
        <v>0</v>
      </c>
      <c r="I112">
        <v>0</v>
      </c>
      <c r="K112" t="s">
        <v>9</v>
      </c>
      <c r="L112" s="15">
        <f ca="1">COS(RADIANS(H111))*0.9</f>
        <v>0.2766735105527886</v>
      </c>
      <c r="M112" s="15">
        <v>0</v>
      </c>
      <c r="R112" s="16"/>
      <c r="S112" s="16"/>
      <c r="T112" s="16"/>
      <c r="U112" s="16"/>
      <c r="V112" s="102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G113" s="16"/>
      <c r="R113" s="16"/>
      <c r="S113" s="16"/>
      <c r="T113" s="16"/>
      <c r="U113" s="16"/>
      <c r="V113" s="102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G114" s="16"/>
      <c r="R114" s="16"/>
      <c r="S114" s="16"/>
      <c r="T114" s="16"/>
      <c r="U114" s="16"/>
      <c r="V114" s="102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3" t="s">
        <v>11</v>
      </c>
      <c r="G115" s="16"/>
      <c r="H115" s="3" t="s">
        <v>11</v>
      </c>
      <c r="R115" s="16"/>
      <c r="S115" s="16"/>
      <c r="T115" s="16"/>
      <c r="U115" s="16"/>
      <c r="V115" s="102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>
        <f ca="1">B100*360</f>
        <v>317.99999873153865</v>
      </c>
      <c r="B116">
        <v>360</v>
      </c>
      <c r="D116" t="s">
        <v>8</v>
      </c>
      <c r="E116" s="15">
        <f ca="1">SIN(RADIANS(A116))*0.9</f>
        <v>-0.60221756053009123</v>
      </c>
      <c r="F116" s="15">
        <v>0</v>
      </c>
      <c r="G116" s="16"/>
      <c r="H116">
        <f ca="1">I100*360</f>
        <v>5.7890429813414812</v>
      </c>
      <c r="I116">
        <v>360</v>
      </c>
      <c r="K116" t="s">
        <v>8</v>
      </c>
      <c r="L116" s="15">
        <f ca="1">SIN(RADIANS(H116))*0.9</f>
        <v>9.0779434449720794E-2</v>
      </c>
      <c r="M116" s="15">
        <v>0</v>
      </c>
      <c r="R116" s="16"/>
      <c r="S116" s="16"/>
      <c r="T116" s="16"/>
      <c r="U116" s="16"/>
      <c r="V116" s="102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>
        <v>0</v>
      </c>
      <c r="B117">
        <v>0</v>
      </c>
      <c r="D117" t="s">
        <v>9</v>
      </c>
      <c r="E117" s="15">
        <f ca="1">COS(RADIANS(A116))*0.9</f>
        <v>0.66883032959726474</v>
      </c>
      <c r="F117" s="15">
        <v>0</v>
      </c>
      <c r="G117" s="16"/>
      <c r="H117">
        <v>0</v>
      </c>
      <c r="I117">
        <v>0</v>
      </c>
      <c r="K117" t="s">
        <v>9</v>
      </c>
      <c r="L117" s="15">
        <f ca="1">COS(RADIANS(H116))*0.9</f>
        <v>0.89541001461955338</v>
      </c>
      <c r="M117" s="15">
        <v>0</v>
      </c>
      <c r="R117" s="16"/>
      <c r="S117" s="16"/>
      <c r="T117" s="16"/>
      <c r="U117" s="16"/>
      <c r="V117" s="102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R118" s="16"/>
      <c r="S118" s="16"/>
      <c r="T118" s="16"/>
      <c r="U118" s="16"/>
      <c r="V118" s="102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R119" s="16"/>
      <c r="S119" s="16"/>
      <c r="T119" s="16"/>
      <c r="U119" s="16"/>
      <c r="V119" s="102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R128" s="16"/>
      <c r="S128" s="16"/>
      <c r="T128" s="16"/>
      <c r="U128" s="16"/>
      <c r="V128" s="16"/>
      <c r="W128" s="31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8:34" x14ac:dyDescent="0.25">
      <c r="R129" s="16"/>
      <c r="S129" s="16"/>
      <c r="T129" s="16"/>
      <c r="U129" s="16"/>
      <c r="V129" s="16"/>
      <c r="W129" s="29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8:34" x14ac:dyDescent="0.25"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8:34" x14ac:dyDescent="0.25"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8:34" x14ac:dyDescent="0.25"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8:34" x14ac:dyDescent="0.25"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8:34" x14ac:dyDescent="0.25"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8:34" x14ac:dyDescent="0.25"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8:34" x14ac:dyDescent="0.25"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8:34" x14ac:dyDescent="0.25"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8:34" x14ac:dyDescent="0.25"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8:34" x14ac:dyDescent="0.25"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8:34" x14ac:dyDescent="0.25"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8:34" x14ac:dyDescent="0.25"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8:34" x14ac:dyDescent="0.25"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8:34" x14ac:dyDescent="0.25"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8:34" x14ac:dyDescent="0.25"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8:34" x14ac:dyDescent="0.25">
      <c r="R145" s="16"/>
      <c r="S145" s="16"/>
      <c r="T145" s="16"/>
      <c r="U145" s="16"/>
      <c r="V145" s="16"/>
      <c r="W145" s="31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8:34" x14ac:dyDescent="0.25">
      <c r="R146" s="16"/>
      <c r="S146" s="16"/>
      <c r="T146" s="16"/>
      <c r="U146" s="16"/>
      <c r="V146" s="16"/>
      <c r="W146" s="29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8:34" x14ac:dyDescent="0.25"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8:34" x14ac:dyDescent="0.25"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8:34" x14ac:dyDescent="0.25"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8:34" x14ac:dyDescent="0.25"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8:34" x14ac:dyDescent="0.25"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8:34" x14ac:dyDescent="0.25"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8:34" x14ac:dyDescent="0.25"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8:34" x14ac:dyDescent="0.25"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8:34" x14ac:dyDescent="0.25"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8:34" x14ac:dyDescent="0.25"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8:34" x14ac:dyDescent="0.25"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8:34" x14ac:dyDescent="0.25"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8:34" x14ac:dyDescent="0.25"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8:34" x14ac:dyDescent="0.25"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8:34" x14ac:dyDescent="0.25"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8:34" x14ac:dyDescent="0.25">
      <c r="R162" s="16"/>
      <c r="S162" s="16"/>
      <c r="T162" s="16"/>
      <c r="U162" s="16"/>
      <c r="V162" s="16"/>
      <c r="W162" s="31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8:34" x14ac:dyDescent="0.25">
      <c r="R163" s="16"/>
      <c r="S163" s="16"/>
      <c r="T163" s="16"/>
      <c r="U163" s="16"/>
      <c r="V163" s="16"/>
      <c r="W163" s="29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8:34" x14ac:dyDescent="0.25"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8:34" x14ac:dyDescent="0.25"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8:34" x14ac:dyDescent="0.25"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8:34" x14ac:dyDescent="0.25"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8:34" x14ac:dyDescent="0.25"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8:34" x14ac:dyDescent="0.25"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8:34" x14ac:dyDescent="0.25"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8:34" x14ac:dyDescent="0.25"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8:34" x14ac:dyDescent="0.25"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8:34" x14ac:dyDescent="0.25"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8:34" x14ac:dyDescent="0.25"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8:34" x14ac:dyDescent="0.25"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8:34" x14ac:dyDescent="0.25"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8:34" x14ac:dyDescent="0.25"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8:34" x14ac:dyDescent="0.25">
      <c r="R178" s="16"/>
      <c r="S178" s="16"/>
      <c r="T178" s="16"/>
      <c r="U178" s="16"/>
      <c r="V178" s="16"/>
      <c r="W178" s="31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8:34" x14ac:dyDescent="0.25">
      <c r="R179" s="16"/>
      <c r="S179" s="16"/>
      <c r="T179" s="16"/>
      <c r="U179" s="16"/>
      <c r="V179" s="16"/>
      <c r="W179" s="29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8:34" x14ac:dyDescent="0.25"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8:34" x14ac:dyDescent="0.25"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8:34" x14ac:dyDescent="0.25"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8:34" x14ac:dyDescent="0.25"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8:34" x14ac:dyDescent="0.25"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8:34" x14ac:dyDescent="0.25"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8:34" x14ac:dyDescent="0.25"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8:34" x14ac:dyDescent="0.25"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18:34" x14ac:dyDescent="0.25"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8:34" x14ac:dyDescent="0.25"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8:34" x14ac:dyDescent="0.25"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8:34" x14ac:dyDescent="0.25"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8:34" x14ac:dyDescent="0.25"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8:34" x14ac:dyDescent="0.25"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8:34" x14ac:dyDescent="0.25"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8:34" x14ac:dyDescent="0.25"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8:34" x14ac:dyDescent="0.25"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18:34" x14ac:dyDescent="0.25"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</sheetData>
  <sheetProtection password="D975" sheet="1" objects="1" scenarios="1" selectLockedCells="1"/>
  <mergeCells count="7">
    <mergeCell ref="N8:O8"/>
    <mergeCell ref="AL35:AP35"/>
    <mergeCell ref="B22:B23"/>
    <mergeCell ref="C22:C23"/>
    <mergeCell ref="AL23:AP23"/>
    <mergeCell ref="AL28:AP28"/>
    <mergeCell ref="N9:O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5:Y17"/>
  <sheetViews>
    <sheetView workbookViewId="0">
      <selection activeCell="R24" sqref="R24"/>
    </sheetView>
  </sheetViews>
  <sheetFormatPr baseColWidth="10" defaultRowHeight="15" x14ac:dyDescent="0.25"/>
  <cols>
    <col min="2" max="2" width="25.42578125" customWidth="1"/>
    <col min="10" max="10" width="13.5703125" bestFit="1" customWidth="1"/>
  </cols>
  <sheetData>
    <row r="5" spans="2:25" ht="207" x14ac:dyDescent="0.25">
      <c r="B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I5" t="s">
        <v>12</v>
      </c>
      <c r="J5" t="s">
        <v>13</v>
      </c>
      <c r="L5" s="4" t="s">
        <v>14</v>
      </c>
      <c r="M5" t="s">
        <v>15</v>
      </c>
      <c r="N5" s="5" t="s">
        <v>16</v>
      </c>
      <c r="O5" s="4" t="s">
        <v>17</v>
      </c>
      <c r="P5" s="5" t="s">
        <v>18</v>
      </c>
      <c r="Q5" s="5"/>
      <c r="R5" t="s">
        <v>19</v>
      </c>
      <c r="S5" t="s">
        <v>15</v>
      </c>
      <c r="T5" s="5" t="s">
        <v>20</v>
      </c>
      <c r="U5" t="s">
        <v>21</v>
      </c>
      <c r="W5" s="5" t="s">
        <v>22</v>
      </c>
      <c r="Y5" s="5" t="s">
        <v>23</v>
      </c>
    </row>
    <row r="6" spans="2:25" x14ac:dyDescent="0.25">
      <c r="B6" s="1">
        <f>Tabelle1!Q42</f>
        <v>43660.402048611111</v>
      </c>
      <c r="C6" s="8">
        <f>B6</f>
        <v>43660.402048611111</v>
      </c>
      <c r="D6" s="11">
        <f>B6-INT(B6)</f>
        <v>0.40204861111124046</v>
      </c>
      <c r="E6" s="12">
        <f>2451545+B6-DATE(2000,1,1)</f>
        <v>2458679.4020486111</v>
      </c>
      <c r="F6" s="8">
        <f>E6-2451545.5</f>
        <v>7133.9020486110821</v>
      </c>
      <c r="G6" s="13">
        <f>F6/36525</f>
        <v>0.19531559339113161</v>
      </c>
      <c r="I6" s="6">
        <f>INT(2451545+B6-DATE(2000,1,1))</f>
        <v>2458679</v>
      </c>
      <c r="J6" s="7">
        <f>(I6-2451545.5)/36525</f>
        <v>0.19530458590006844</v>
      </c>
      <c r="K6" s="7"/>
      <c r="L6" s="8">
        <f>6.697376+2400.05134*J6+1.002738*0</f>
        <v>475.43840909760439</v>
      </c>
      <c r="M6" s="9">
        <f>L6-INT(L6/24)*24</f>
        <v>19.438409097604392</v>
      </c>
      <c r="N6" s="10">
        <f>M6/24</f>
        <v>0.80993371240018297</v>
      </c>
      <c r="O6">
        <f>M6*15</f>
        <v>291.57613646406588</v>
      </c>
      <c r="P6" s="10">
        <f>N6+Tabelle1!I8/60/24*4</f>
        <v>0.83697074943722005</v>
      </c>
      <c r="Q6" s="10"/>
      <c r="R6" s="8">
        <f>6.697376+2400.05134*J6+1.002738*D6*24</f>
        <v>485.11399518260748</v>
      </c>
      <c r="S6">
        <f>R6-INT(R6/24)*24</f>
        <v>5.1139951826074821</v>
      </c>
      <c r="T6" s="34">
        <f>S6/24</f>
        <v>0.21308313260864509</v>
      </c>
      <c r="U6">
        <f>S6*15</f>
        <v>76.709927739112231</v>
      </c>
      <c r="W6">
        <f>U6+Tabelle1!I8</f>
        <v>86.443261072445566</v>
      </c>
      <c r="X6" s="8">
        <f>W6/15</f>
        <v>5.7628840714963712</v>
      </c>
      <c r="Y6" s="34">
        <f>X6/24</f>
        <v>0.24012016964568214</v>
      </c>
    </row>
    <row r="10" spans="2:25" x14ac:dyDescent="0.25">
      <c r="B10" s="14">
        <f>Tabelle1!Q42</f>
        <v>43660.402048611111</v>
      </c>
      <c r="C10" s="8">
        <f>B10</f>
        <v>43660.402048611111</v>
      </c>
      <c r="D10" s="11">
        <f>B10-INT(B10)</f>
        <v>0.40204861111124046</v>
      </c>
      <c r="E10" s="12">
        <f>2451545+B10-DATE(2000,1,1)</f>
        <v>2458679.4020486111</v>
      </c>
      <c r="F10" s="8">
        <f>E10-2451545.5</f>
        <v>7133.9020486110821</v>
      </c>
      <c r="G10" s="13">
        <f>F10/36525</f>
        <v>0.19531559339113161</v>
      </c>
    </row>
    <row r="14" spans="2:25" x14ac:dyDescent="0.25">
      <c r="C14" t="s">
        <v>40</v>
      </c>
    </row>
    <row r="16" spans="2:25" x14ac:dyDescent="0.25">
      <c r="D16" t="s">
        <v>37</v>
      </c>
      <c r="F16" t="s">
        <v>38</v>
      </c>
      <c r="G16" t="s">
        <v>39</v>
      </c>
    </row>
    <row r="17" spans="3:7" x14ac:dyDescent="0.25">
      <c r="C17" s="22">
        <f>280.46+0.9856474*F6</f>
        <v>7311.9720060681866</v>
      </c>
      <c r="D17" s="12">
        <f>C17-INT(C17/360)*360</f>
        <v>111.9720060681866</v>
      </c>
      <c r="E17" s="22">
        <f>357.528+0.9856003*G6</f>
        <v>357.720503107441</v>
      </c>
      <c r="F17" s="12">
        <f>E17-INT(E17/360)*360</f>
        <v>357.720503107441</v>
      </c>
      <c r="G17" s="23">
        <f>D17+1.915*SIN(RADIANS(F17))+0.01997*SIN(RADIANS(2*F17))</f>
        <v>111.89425108907298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129"/>
  <sheetViews>
    <sheetView workbookViewId="0">
      <selection activeCell="R18" sqref="R18"/>
    </sheetView>
  </sheetViews>
  <sheetFormatPr baseColWidth="10" defaultRowHeight="15" x14ac:dyDescent="0.25"/>
  <cols>
    <col min="2" max="2" width="14.7109375" bestFit="1" customWidth="1"/>
    <col min="7" max="7" width="17.140625" customWidth="1"/>
  </cols>
  <sheetData>
    <row r="1" spans="1:9" ht="21" x14ac:dyDescent="0.35">
      <c r="A1" s="50" t="s">
        <v>49</v>
      </c>
    </row>
    <row r="3" spans="1:9" ht="21" x14ac:dyDescent="0.35">
      <c r="A3" t="s">
        <v>50</v>
      </c>
      <c r="B3" s="51">
        <f ca="1">NOW()</f>
        <v>43660.485422916667</v>
      </c>
      <c r="C3" t="s">
        <v>31</v>
      </c>
      <c r="E3" s="52" t="s">
        <v>36</v>
      </c>
      <c r="F3" s="53"/>
      <c r="G3" s="54">
        <f ca="1">B3</f>
        <v>43660.485422916667</v>
      </c>
    </row>
    <row r="4" spans="1:9" x14ac:dyDescent="0.25">
      <c r="E4" s="53" t="s">
        <v>51</v>
      </c>
      <c r="F4" s="53"/>
      <c r="G4" s="55">
        <f ca="1">E31</f>
        <v>112.05971233241257</v>
      </c>
    </row>
    <row r="5" spans="1:9" x14ac:dyDescent="0.25">
      <c r="A5" t="s">
        <v>52</v>
      </c>
      <c r="E5" s="53" t="s">
        <v>53</v>
      </c>
      <c r="F5" s="56">
        <f ca="1">G4/15+12</f>
        <v>19.470647488827506</v>
      </c>
      <c r="G5" s="57">
        <f ca="1">F5/24</f>
        <v>0.81127697870114612</v>
      </c>
    </row>
    <row r="6" spans="1:9" x14ac:dyDescent="0.25">
      <c r="E6" s="53" t="s">
        <v>54</v>
      </c>
      <c r="F6" s="53"/>
      <c r="G6" s="58">
        <f>Tabelle1!I8</f>
        <v>9.7333333333333325</v>
      </c>
    </row>
    <row r="7" spans="1:9" x14ac:dyDescent="0.25">
      <c r="E7" s="53" t="s">
        <v>55</v>
      </c>
      <c r="F7" s="53"/>
      <c r="G7" s="59">
        <v>0</v>
      </c>
    </row>
    <row r="8" spans="1:9" x14ac:dyDescent="0.25">
      <c r="E8" s="53" t="s">
        <v>56</v>
      </c>
      <c r="F8" s="60">
        <f ca="1">F5+G7*24+G6/15</f>
        <v>20.119536377716393</v>
      </c>
      <c r="G8" s="61">
        <f ca="1">F8/24</f>
        <v>0.83831401573818309</v>
      </c>
    </row>
    <row r="9" spans="1:9" x14ac:dyDescent="0.25">
      <c r="A9" t="s">
        <v>57</v>
      </c>
    </row>
    <row r="14" spans="1:9" x14ac:dyDescent="0.25">
      <c r="A14" t="s">
        <v>58</v>
      </c>
      <c r="C14" s="62">
        <f ca="1">2451544.5+B3-DATE(2000,1,1)+1</f>
        <v>2458679.9854229167</v>
      </c>
      <c r="E14" t="s">
        <v>59</v>
      </c>
      <c r="G14" s="63" t="s">
        <v>60</v>
      </c>
      <c r="H14" s="63"/>
      <c r="I14" t="s">
        <v>61</v>
      </c>
    </row>
    <row r="15" spans="1:9" x14ac:dyDescent="0.25">
      <c r="G15" s="63"/>
      <c r="H15" s="63"/>
    </row>
    <row r="16" spans="1:9" x14ac:dyDescent="0.25">
      <c r="A16" t="s">
        <v>62</v>
      </c>
      <c r="C16" s="62">
        <f ca="1">B3-DATE(2000,1,1)+1</f>
        <v>7135.4854229166667</v>
      </c>
      <c r="D16" t="s">
        <v>63</v>
      </c>
      <c r="E16" t="s">
        <v>59</v>
      </c>
      <c r="G16" s="63" t="s">
        <v>64</v>
      </c>
      <c r="H16" s="63"/>
      <c r="I16" t="s">
        <v>65</v>
      </c>
    </row>
    <row r="17" spans="1:9" x14ac:dyDescent="0.25">
      <c r="G17" s="63"/>
      <c r="H17" s="63"/>
    </row>
    <row r="18" spans="1:9" x14ac:dyDescent="0.25">
      <c r="A18" t="s">
        <v>66</v>
      </c>
      <c r="C18" s="64">
        <f ca="1">(C14-2451545)/36525</f>
        <v>0.19534525456308585</v>
      </c>
      <c r="G18" s="63" t="s">
        <v>67</v>
      </c>
      <c r="H18" s="63"/>
      <c r="I18" t="s">
        <v>68</v>
      </c>
    </row>
    <row r="19" spans="1:9" x14ac:dyDescent="0.25">
      <c r="G19" s="63"/>
      <c r="H19" s="63"/>
    </row>
    <row r="20" spans="1:9" x14ac:dyDescent="0.25">
      <c r="B20" s="65" t="s">
        <v>69</v>
      </c>
      <c r="E20" s="66">
        <f ca="1">282.9404+0.0000470935*C16</f>
        <v>283.27643498276416</v>
      </c>
      <c r="F20" s="19"/>
      <c r="G20" s="63" t="s">
        <v>70</v>
      </c>
      <c r="H20" s="63"/>
      <c r="I20" t="s">
        <v>71</v>
      </c>
    </row>
    <row r="21" spans="1:9" x14ac:dyDescent="0.25">
      <c r="G21" s="63"/>
      <c r="H21" s="63"/>
    </row>
    <row r="22" spans="1:9" x14ac:dyDescent="0.25">
      <c r="B22" t="s">
        <v>72</v>
      </c>
      <c r="E22" s="67">
        <v>1</v>
      </c>
      <c r="G22" s="63">
        <v>1</v>
      </c>
      <c r="H22" s="63"/>
      <c r="I22" t="s">
        <v>73</v>
      </c>
    </row>
    <row r="23" spans="1:9" x14ac:dyDescent="0.25">
      <c r="G23" s="63"/>
      <c r="H23" s="63"/>
    </row>
    <row r="24" spans="1:9" x14ac:dyDescent="0.25">
      <c r="B24" t="s">
        <v>74</v>
      </c>
      <c r="E24" s="66">
        <f ca="1">0.016709-0.000000001151*C16</f>
        <v>1.6700787056278223E-2</v>
      </c>
      <c r="F24" s="19"/>
      <c r="G24" s="63" t="s">
        <v>75</v>
      </c>
      <c r="H24" s="63"/>
      <c r="I24" t="s">
        <v>76</v>
      </c>
    </row>
    <row r="25" spans="1:9" x14ac:dyDescent="0.25">
      <c r="G25" s="63"/>
      <c r="H25" s="63"/>
    </row>
    <row r="26" spans="1:9" x14ac:dyDescent="0.25">
      <c r="B26" t="s">
        <v>77</v>
      </c>
      <c r="E26" s="25">
        <f ca="1">356.047+0.9856002585*C16</f>
        <v>7388.7832773496484</v>
      </c>
      <c r="F26" s="19"/>
      <c r="G26" s="63" t="s">
        <v>78</v>
      </c>
      <c r="H26" s="63"/>
      <c r="I26" t="s">
        <v>79</v>
      </c>
    </row>
    <row r="27" spans="1:9" x14ac:dyDescent="0.25">
      <c r="E27" s="66">
        <f ca="1">E26-INT(E26/360)*360</f>
        <v>188.78327734964842</v>
      </c>
      <c r="G27" s="63" t="s">
        <v>80</v>
      </c>
      <c r="H27" s="63"/>
      <c r="I27" s="68" t="s">
        <v>81</v>
      </c>
    </row>
    <row r="28" spans="1:9" x14ac:dyDescent="0.25">
      <c r="G28" s="63"/>
      <c r="H28" s="63"/>
    </row>
    <row r="29" spans="1:9" x14ac:dyDescent="0.25">
      <c r="G29" s="63"/>
      <c r="H29" s="63"/>
    </row>
    <row r="30" spans="1:9" x14ac:dyDescent="0.25">
      <c r="B30" t="s">
        <v>82</v>
      </c>
      <c r="E30" s="25">
        <f ca="1">E20+E27</f>
        <v>472.05971233241257</v>
      </c>
      <c r="F30" s="19"/>
      <c r="G30" s="63" t="s">
        <v>83</v>
      </c>
      <c r="H30" s="63"/>
      <c r="I30" t="s">
        <v>84</v>
      </c>
    </row>
    <row r="31" spans="1:9" x14ac:dyDescent="0.25">
      <c r="E31" s="66">
        <f ca="1">E30-INT(E30/360)*360</f>
        <v>112.05971233241257</v>
      </c>
      <c r="G31" s="63" t="s">
        <v>85</v>
      </c>
      <c r="H31" s="63"/>
      <c r="I31" s="68" t="s">
        <v>86</v>
      </c>
    </row>
    <row r="32" spans="1:9" x14ac:dyDescent="0.25">
      <c r="G32" s="63"/>
      <c r="H32" s="63"/>
    </row>
    <row r="33" spans="1:9" x14ac:dyDescent="0.25">
      <c r="B33" t="s">
        <v>87</v>
      </c>
      <c r="E33" s="66">
        <f ca="1">E27+(180/PI()*E24*SIN(RADIANS(E27))*(1+E24*COS(RADIANS(E27))))</f>
        <v>188.6395751558895</v>
      </c>
      <c r="F33" s="19"/>
      <c r="G33" s="63" t="s">
        <v>88</v>
      </c>
      <c r="H33" s="63"/>
      <c r="I33" t="s">
        <v>89</v>
      </c>
    </row>
    <row r="38" spans="1:9" x14ac:dyDescent="0.25">
      <c r="B38" t="s">
        <v>90</v>
      </c>
      <c r="E38" s="69">
        <f ca="1">COS(RADIANS(E33))-E24</f>
        <v>-1.0053536456790213</v>
      </c>
      <c r="F38" s="19"/>
      <c r="G38" s="63" t="s">
        <v>91</v>
      </c>
      <c r="H38" s="63"/>
      <c r="I38" t="s">
        <v>92</v>
      </c>
    </row>
    <row r="39" spans="1:9" x14ac:dyDescent="0.25">
      <c r="G39" s="63"/>
      <c r="H39" s="63"/>
    </row>
    <row r="40" spans="1:9" x14ac:dyDescent="0.25">
      <c r="B40" t="s">
        <v>93</v>
      </c>
      <c r="E40" s="69">
        <f ca="1">SIN(RADIANS(E33))*SQRT(1-E24^2)</f>
        <v>-0.15019730771409939</v>
      </c>
      <c r="F40" s="19"/>
      <c r="G40" s="63" t="s">
        <v>94</v>
      </c>
      <c r="H40" s="63"/>
      <c r="I40" t="s">
        <v>95</v>
      </c>
    </row>
    <row r="44" spans="1:9" x14ac:dyDescent="0.25">
      <c r="B44" t="s">
        <v>96</v>
      </c>
      <c r="E44" s="66">
        <f ca="1">SQRT(E38^2+E40^2)</f>
        <v>1.0165112808644394</v>
      </c>
      <c r="F44" s="19"/>
      <c r="G44" s="63" t="s">
        <v>97</v>
      </c>
      <c r="I44" t="s">
        <v>98</v>
      </c>
    </row>
    <row r="48" spans="1:9" x14ac:dyDescent="0.25">
      <c r="A48" s="3" t="s">
        <v>99</v>
      </c>
    </row>
    <row r="49" spans="1:9" x14ac:dyDescent="0.25">
      <c r="B49" t="s">
        <v>100</v>
      </c>
      <c r="E49" s="17">
        <f ca="1">ATAN2(E40,E38)*180/PI()</f>
        <v>-98.497000790512445</v>
      </c>
      <c r="F49" s="19"/>
      <c r="G49" s="63" t="s">
        <v>101</v>
      </c>
      <c r="H49" s="63"/>
      <c r="I49" t="s">
        <v>102</v>
      </c>
    </row>
    <row r="50" spans="1:9" x14ac:dyDescent="0.25">
      <c r="E50" s="66">
        <f ca="1">IF(ATAN2(E38,E40)*180/PI()&lt;0,360+ATAN2(E38,E40)*180/PI(),ATAN2(E38,E40)*180/PI())</f>
        <v>188.49700079051249</v>
      </c>
      <c r="G50" t="s">
        <v>103</v>
      </c>
      <c r="I50" t="s">
        <v>104</v>
      </c>
    </row>
    <row r="51" spans="1:9" x14ac:dyDescent="0.25">
      <c r="A51" s="3" t="s">
        <v>105</v>
      </c>
    </row>
    <row r="52" spans="1:9" x14ac:dyDescent="0.25">
      <c r="B52" t="s">
        <v>106</v>
      </c>
      <c r="E52" s="17">
        <f ca="1">E20+E50</f>
        <v>471.77343577327667</v>
      </c>
      <c r="F52" s="21"/>
      <c r="G52" s="69" t="s">
        <v>107</v>
      </c>
      <c r="H52" s="63"/>
      <c r="I52" t="s">
        <v>108</v>
      </c>
    </row>
    <row r="53" spans="1:9" x14ac:dyDescent="0.25">
      <c r="D53" s="17"/>
      <c r="E53" s="66">
        <f ca="1">E52-INT(E52/360)*360</f>
        <v>111.77343577327667</v>
      </c>
      <c r="F53" s="21"/>
      <c r="G53" s="69" t="s">
        <v>109</v>
      </c>
      <c r="H53" s="63"/>
      <c r="I53" t="s">
        <v>110</v>
      </c>
    </row>
    <row r="54" spans="1:9" x14ac:dyDescent="0.25">
      <c r="D54" s="17"/>
      <c r="E54" s="21"/>
      <c r="F54" s="21"/>
      <c r="G54" s="21"/>
    </row>
    <row r="56" spans="1:9" ht="18" x14ac:dyDescent="0.35">
      <c r="B56" t="s">
        <v>111</v>
      </c>
      <c r="E56" s="63">
        <f ca="1">E44*COS(RADIANS(E53))</f>
        <v>-0.37706196903204464</v>
      </c>
      <c r="F56" s="19"/>
      <c r="G56" s="63" t="s">
        <v>112</v>
      </c>
      <c r="H56" s="63"/>
      <c r="I56" t="s">
        <v>113</v>
      </c>
    </row>
    <row r="57" spans="1:9" x14ac:dyDescent="0.25">
      <c r="G57" s="63"/>
      <c r="H57" s="63"/>
    </row>
    <row r="58" spans="1:9" ht="18" x14ac:dyDescent="0.35">
      <c r="B58" t="s">
        <v>114</v>
      </c>
      <c r="E58" s="63">
        <f ca="1">E44*SIN(RADIANS(E53))</f>
        <v>0.94399123705378785</v>
      </c>
      <c r="F58" s="19"/>
      <c r="G58" s="63" t="s">
        <v>115</v>
      </c>
      <c r="H58" s="63"/>
      <c r="I58" t="s">
        <v>116</v>
      </c>
    </row>
    <row r="60" spans="1:9" ht="18" x14ac:dyDescent="0.35">
      <c r="B60" t="s">
        <v>117</v>
      </c>
      <c r="E60">
        <v>0</v>
      </c>
      <c r="G60" t="s">
        <v>118</v>
      </c>
      <c r="I60">
        <v>0</v>
      </c>
    </row>
    <row r="62" spans="1:9" x14ac:dyDescent="0.25">
      <c r="A62" s="3" t="s">
        <v>119</v>
      </c>
    </row>
    <row r="64" spans="1:9" x14ac:dyDescent="0.25">
      <c r="B64" t="s">
        <v>120</v>
      </c>
      <c r="E64" s="70">
        <v>23.4406</v>
      </c>
      <c r="F64" s="16"/>
      <c r="G64" s="16">
        <v>23.4406</v>
      </c>
    </row>
    <row r="66" spans="1:9" ht="18" x14ac:dyDescent="0.35">
      <c r="B66" t="s">
        <v>121</v>
      </c>
      <c r="E66" s="63">
        <f ca="1">E56</f>
        <v>-0.37706196903204464</v>
      </c>
      <c r="F66" s="19"/>
      <c r="G66" s="63" t="s">
        <v>122</v>
      </c>
      <c r="H66" s="63"/>
      <c r="I66" t="s">
        <v>123</v>
      </c>
    </row>
    <row r="67" spans="1:9" x14ac:dyDescent="0.25">
      <c r="E67" s="63"/>
      <c r="G67" s="63"/>
      <c r="H67" s="63"/>
    </row>
    <row r="68" spans="1:9" ht="18" x14ac:dyDescent="0.35">
      <c r="B68" t="s">
        <v>124</v>
      </c>
      <c r="E68" s="63">
        <f ca="1">E58*COS(RADIANS(E64))-E60*SIN(RADIANS(E64))</f>
        <v>0.86608644848367244</v>
      </c>
      <c r="F68" s="19"/>
      <c r="G68" s="63" t="s">
        <v>125</v>
      </c>
      <c r="H68" s="63"/>
      <c r="I68" t="s">
        <v>126</v>
      </c>
    </row>
    <row r="69" spans="1:9" x14ac:dyDescent="0.25">
      <c r="E69" s="63"/>
      <c r="G69" s="63"/>
      <c r="H69" s="63"/>
    </row>
    <row r="70" spans="1:9" ht="18" x14ac:dyDescent="0.35">
      <c r="B70" t="s">
        <v>127</v>
      </c>
      <c r="E70" s="63">
        <f ca="1">E58*SIN(RADIANS(E64))+E60*COS(RADIANS(E64))</f>
        <v>0.37551793484104007</v>
      </c>
      <c r="F70" s="19"/>
      <c r="G70" s="63" t="s">
        <v>128</v>
      </c>
      <c r="H70" s="63"/>
      <c r="I70" t="s">
        <v>129</v>
      </c>
    </row>
    <row r="72" spans="1:9" x14ac:dyDescent="0.25">
      <c r="A72" s="3" t="s">
        <v>130</v>
      </c>
    </row>
    <row r="74" spans="1:9" x14ac:dyDescent="0.25">
      <c r="B74" t="s">
        <v>131</v>
      </c>
      <c r="E74" s="71">
        <f ca="1">SQRT(E66^2+E68^2+E70^2)</f>
        <v>1.0165112808644394</v>
      </c>
      <c r="F74" s="21"/>
      <c r="G74" s="69" t="s">
        <v>132</v>
      </c>
      <c r="I74" t="s">
        <v>133</v>
      </c>
    </row>
    <row r="75" spans="1:9" x14ac:dyDescent="0.25">
      <c r="F75" s="16"/>
      <c r="G75" s="16"/>
    </row>
    <row r="76" spans="1:9" x14ac:dyDescent="0.25">
      <c r="E76" s="17">
        <f ca="1">ATAN2(E66,E68)*180/PI()</f>
        <v>113.52652549704401</v>
      </c>
      <c r="F76" s="16"/>
      <c r="G76" s="16" t="s">
        <v>134</v>
      </c>
      <c r="I76" t="s">
        <v>135</v>
      </c>
    </row>
    <row r="77" spans="1:9" x14ac:dyDescent="0.25">
      <c r="B77" t="s">
        <v>136</v>
      </c>
      <c r="E77">
        <f ca="1">IF(E76&lt;0,360+E76,E76)</f>
        <v>113.52652549704401</v>
      </c>
      <c r="F77" s="16"/>
      <c r="G77" s="16" t="s">
        <v>137</v>
      </c>
      <c r="I77" t="s">
        <v>138</v>
      </c>
    </row>
    <row r="78" spans="1:9" x14ac:dyDescent="0.25">
      <c r="B78" t="s">
        <v>139</v>
      </c>
      <c r="E78" s="72">
        <f ca="1">E77/15</f>
        <v>7.5684350331362671</v>
      </c>
      <c r="F78" s="16"/>
      <c r="G78" s="16" t="s">
        <v>140</v>
      </c>
      <c r="I78" t="s">
        <v>141</v>
      </c>
    </row>
    <row r="79" spans="1:9" x14ac:dyDescent="0.25">
      <c r="E79" s="73">
        <f ca="1">E78/24</f>
        <v>0.31535145971401113</v>
      </c>
      <c r="F79" s="74"/>
      <c r="G79" s="75" t="s">
        <v>142</v>
      </c>
      <c r="I79" t="s">
        <v>143</v>
      </c>
    </row>
    <row r="80" spans="1:9" x14ac:dyDescent="0.25">
      <c r="F80" s="16"/>
      <c r="G80" s="16"/>
    </row>
    <row r="81" spans="1:9" x14ac:dyDescent="0.25">
      <c r="B81" t="s">
        <v>144</v>
      </c>
      <c r="E81" s="66">
        <f ca="1">ASIN(E70/E74)*180/PI()</f>
        <v>21.679750791551651</v>
      </c>
      <c r="F81" s="21"/>
      <c r="G81" s="69" t="s">
        <v>145</v>
      </c>
      <c r="I81" t="s">
        <v>146</v>
      </c>
    </row>
    <row r="82" spans="1:9" x14ac:dyDescent="0.25">
      <c r="F82" s="17"/>
      <c r="G82" s="17"/>
    </row>
    <row r="83" spans="1:9" x14ac:dyDescent="0.25">
      <c r="C83" t="s">
        <v>147</v>
      </c>
      <c r="E83" s="17">
        <f ca="1">ATAN2(E70,SQRT(E66^2+E68^2))*180/PI()</f>
        <v>68.320249208448359</v>
      </c>
      <c r="G83" t="s">
        <v>148</v>
      </c>
      <c r="I83" t="s">
        <v>149</v>
      </c>
    </row>
    <row r="84" spans="1:9" x14ac:dyDescent="0.25">
      <c r="E84" s="63">
        <f ca="1">IF(E83&gt;E64,90-E83,E83)</f>
        <v>21.679750791551641</v>
      </c>
      <c r="G84" t="s">
        <v>150</v>
      </c>
      <c r="I84" t="s">
        <v>151</v>
      </c>
    </row>
    <row r="85" spans="1:9" ht="23.25" x14ac:dyDescent="0.35">
      <c r="B85" s="76"/>
      <c r="C85" s="76"/>
      <c r="D85" s="76"/>
    </row>
    <row r="86" spans="1:9" ht="23.25" x14ac:dyDescent="0.35">
      <c r="A86" t="s">
        <v>152</v>
      </c>
      <c r="B86" s="76"/>
      <c r="D86" s="76"/>
      <c r="E86" s="77">
        <f>Tabelle1!I8</f>
        <v>9.7333333333333325</v>
      </c>
      <c r="G86" t="s">
        <v>193</v>
      </c>
    </row>
    <row r="87" spans="1:9" ht="23.25" x14ac:dyDescent="0.35">
      <c r="B87" s="76"/>
      <c r="C87" s="78"/>
      <c r="D87" s="76"/>
    </row>
    <row r="88" spans="1:9" ht="23.25" x14ac:dyDescent="0.35">
      <c r="A88" t="s">
        <v>153</v>
      </c>
      <c r="B88" s="76"/>
      <c r="D88" s="76"/>
      <c r="E88" s="79">
        <f>Tabelle1!I10</f>
        <v>52.37777777777778</v>
      </c>
      <c r="G88" t="s">
        <v>194</v>
      </c>
    </row>
    <row r="89" spans="1:9" ht="23.25" x14ac:dyDescent="0.35">
      <c r="B89" s="76"/>
      <c r="C89" s="76"/>
      <c r="D89" s="76"/>
    </row>
    <row r="90" spans="1:9" ht="23.25" x14ac:dyDescent="0.35">
      <c r="B90" s="76"/>
      <c r="C90" s="76"/>
      <c r="D90" s="16"/>
    </row>
    <row r="91" spans="1:9" ht="18.75" x14ac:dyDescent="0.3">
      <c r="A91" s="80" t="s">
        <v>154</v>
      </c>
    </row>
    <row r="93" spans="1:9" x14ac:dyDescent="0.25">
      <c r="B93" t="s">
        <v>155</v>
      </c>
    </row>
    <row r="95" spans="1:9" x14ac:dyDescent="0.25">
      <c r="B95" t="s">
        <v>156</v>
      </c>
      <c r="E95" s="17">
        <f ca="1">ATAN((TAN(RADIANS(E31))-TAN(RADIANS(E53))*COS(RADIANS(E64)))/(1+TAN(RADIANS(E31))*TAN(RADIANS(E53))*COS(RADIANS(E64))))*180/PI()</f>
        <v>-1.4668131646314388</v>
      </c>
      <c r="F95" t="s">
        <v>157</v>
      </c>
      <c r="G95" t="s">
        <v>158</v>
      </c>
    </row>
    <row r="96" spans="1:9" x14ac:dyDescent="0.25">
      <c r="G96" t="s">
        <v>159</v>
      </c>
    </row>
    <row r="97" spans="1:14" x14ac:dyDescent="0.25">
      <c r="B97" t="s">
        <v>160</v>
      </c>
      <c r="E97" s="81">
        <f ca="1">E95*4</f>
        <v>-5.8672526585257554</v>
      </c>
      <c r="F97" t="s">
        <v>161</v>
      </c>
      <c r="G97" t="s">
        <v>162</v>
      </c>
    </row>
    <row r="101" spans="1:14" ht="18.75" x14ac:dyDescent="0.3">
      <c r="A101" s="82" t="s">
        <v>163</v>
      </c>
      <c r="C101" s="16"/>
      <c r="D101" s="16"/>
      <c r="G101" s="17">
        <f ca="1">ACOS(((SIN(RADIANS(E88))*SIN(RADIANS(E81))/(COS(RADIANS(E88))*COS(RADIANS(E81))))))*180/PI()</f>
        <v>58.948992688588859</v>
      </c>
      <c r="H101" s="19"/>
      <c r="M101" s="19">
        <f ca="1">TAN(RADIANS(E88))*TAN(RADIANS(E81))</f>
        <v>0.51580096007097687</v>
      </c>
    </row>
    <row r="102" spans="1:14" x14ac:dyDescent="0.25">
      <c r="C102" s="16"/>
      <c r="D102" s="16"/>
      <c r="E102" s="16"/>
      <c r="M102" s="19">
        <f ca="1">ACOS(TAN(RADIANS(E88))*TAN(RADIANS(E81)))*180/PI()</f>
        <v>58.948992688588859</v>
      </c>
      <c r="N102" s="19">
        <f ca="1">ACOS(M101)*180/PI()/12</f>
        <v>4.9124160573824049</v>
      </c>
    </row>
    <row r="103" spans="1:14" x14ac:dyDescent="0.25">
      <c r="A103" s="16" t="s">
        <v>164</v>
      </c>
      <c r="C103" s="16"/>
      <c r="D103" s="16"/>
      <c r="E103" s="17">
        <f ca="1">ACOS((SIN(RADIANS(-0.833))-(SIN(RADIANS(E88))*SIN(RADIANS(E81))/(COS(RADIANS(E88))*COS(RADIANS(E81))))))*180/PI()</f>
        <v>122.02836529495046</v>
      </c>
      <c r="G103" s="17" t="s">
        <v>165</v>
      </c>
    </row>
    <row r="104" spans="1:14" x14ac:dyDescent="0.25">
      <c r="B104" s="16"/>
      <c r="C104" s="16"/>
      <c r="D104" s="16"/>
      <c r="E104" s="25">
        <f ca="1">E103/15</f>
        <v>8.1352243529966977</v>
      </c>
      <c r="G104" s="17" t="s">
        <v>166</v>
      </c>
    </row>
    <row r="105" spans="1:14" x14ac:dyDescent="0.25">
      <c r="B105" s="16" t="s">
        <v>167</v>
      </c>
      <c r="C105" s="16"/>
      <c r="D105" s="16">
        <f ca="1">12*ACOS((SIN(RADIANS(-0.833))-(SIN(RADIANS(E88))*SIN(RADIANS(E81))/(COS(RADIANS(E88))*COS(RADIANS(E81))))))/PI()</f>
        <v>8.1352243529966977</v>
      </c>
      <c r="E105" s="16"/>
      <c r="G105" t="s">
        <v>168</v>
      </c>
    </row>
    <row r="106" spans="1:14" x14ac:dyDescent="0.25">
      <c r="B106" s="16"/>
      <c r="C106" s="16"/>
      <c r="D106" s="16"/>
      <c r="E106" s="16"/>
      <c r="G106" t="s">
        <v>169</v>
      </c>
    </row>
    <row r="107" spans="1:14" x14ac:dyDescent="0.25">
      <c r="B107" s="16" t="s">
        <v>170</v>
      </c>
      <c r="C107" s="16"/>
      <c r="D107" s="16">
        <f ca="1">2*D105</f>
        <v>16.270448705993395</v>
      </c>
      <c r="G107" t="s">
        <v>171</v>
      </c>
    </row>
    <row r="108" spans="1:14" x14ac:dyDescent="0.25">
      <c r="B108" s="16"/>
      <c r="C108" s="16"/>
      <c r="E108" s="83">
        <f ca="1">D107/24</f>
        <v>0.67793536274972477</v>
      </c>
      <c r="G108" t="s">
        <v>172</v>
      </c>
    </row>
    <row r="109" spans="1:14" x14ac:dyDescent="0.25">
      <c r="B109" s="16"/>
      <c r="C109" s="16"/>
      <c r="D109" s="16"/>
      <c r="E109" s="84"/>
    </row>
    <row r="110" spans="1:14" x14ac:dyDescent="0.25">
      <c r="B110" s="16"/>
      <c r="C110" s="16"/>
      <c r="D110" s="16"/>
      <c r="E110" s="16"/>
    </row>
    <row r="111" spans="1:14" x14ac:dyDescent="0.25">
      <c r="B111" s="16" t="s">
        <v>173</v>
      </c>
      <c r="C111" s="16" t="s">
        <v>48</v>
      </c>
      <c r="D111" s="67">
        <v>12</v>
      </c>
      <c r="E111" s="16"/>
      <c r="G111" s="85">
        <v>12</v>
      </c>
    </row>
    <row r="112" spans="1:14" x14ac:dyDescent="0.25">
      <c r="B112" s="16" t="s">
        <v>174</v>
      </c>
      <c r="C112" s="16"/>
      <c r="D112" s="6">
        <f ca="1">E97</f>
        <v>-5.8672526585257554</v>
      </c>
      <c r="E112" s="16"/>
      <c r="G112" t="s">
        <v>175</v>
      </c>
    </row>
    <row r="113" spans="2:7" x14ac:dyDescent="0.25">
      <c r="B113" s="16"/>
      <c r="C113" s="16"/>
      <c r="D113" s="25">
        <f ca="1">D112/60</f>
        <v>-9.7787544308762589E-2</v>
      </c>
      <c r="E113" s="16"/>
      <c r="G113" t="s">
        <v>176</v>
      </c>
    </row>
    <row r="114" spans="2:7" x14ac:dyDescent="0.25">
      <c r="B114" s="16"/>
      <c r="C114" s="16"/>
      <c r="D114" s="16"/>
      <c r="E114" s="16"/>
    </row>
    <row r="115" spans="2:7" x14ac:dyDescent="0.25">
      <c r="B115" s="16" t="s">
        <v>177</v>
      </c>
      <c r="C115" s="16"/>
      <c r="D115" s="16">
        <f>(15-E86)*4/60</f>
        <v>0.35111111111111115</v>
      </c>
      <c r="E115" s="16"/>
      <c r="G115" t="s">
        <v>178</v>
      </c>
    </row>
    <row r="116" spans="2:7" x14ac:dyDescent="0.25">
      <c r="B116" s="16" t="s">
        <v>179</v>
      </c>
      <c r="C116" s="16"/>
      <c r="D116" s="16">
        <f ca="1">12+D115-D113</f>
        <v>12.448898655419873</v>
      </c>
      <c r="G116" t="s">
        <v>180</v>
      </c>
    </row>
    <row r="117" spans="2:7" x14ac:dyDescent="0.25">
      <c r="B117" s="16"/>
      <c r="C117" s="16"/>
      <c r="D117" s="16"/>
      <c r="E117" s="83">
        <f ca="1">D116/24</f>
        <v>0.51870411064249466</v>
      </c>
      <c r="G117" t="s">
        <v>181</v>
      </c>
    </row>
    <row r="118" spans="2:7" x14ac:dyDescent="0.25">
      <c r="B118" s="16"/>
      <c r="C118" s="16"/>
      <c r="D118" s="16"/>
      <c r="E118" s="16"/>
    </row>
    <row r="119" spans="2:7" x14ac:dyDescent="0.25">
      <c r="B119" s="16"/>
      <c r="C119" s="16"/>
      <c r="D119" s="16"/>
      <c r="E119" s="16"/>
    </row>
    <row r="120" spans="2:7" x14ac:dyDescent="0.25">
      <c r="B120" s="16" t="s">
        <v>182</v>
      </c>
      <c r="C120" s="16" t="s">
        <v>43</v>
      </c>
      <c r="D120" s="16">
        <f ca="1">D116-D105</f>
        <v>4.3136743024231752</v>
      </c>
      <c r="G120" t="s">
        <v>183</v>
      </c>
    </row>
    <row r="121" spans="2:7" x14ac:dyDescent="0.25">
      <c r="B121" s="16"/>
      <c r="C121" s="16"/>
      <c r="D121" s="16"/>
      <c r="E121" s="83">
        <f ca="1">D120/24</f>
        <v>0.17973642926763231</v>
      </c>
      <c r="G121" t="s">
        <v>184</v>
      </c>
    </row>
    <row r="123" spans="2:7" x14ac:dyDescent="0.25">
      <c r="D123" t="s">
        <v>185</v>
      </c>
      <c r="E123" s="86">
        <f ca="1">DEGREES(ACOS((SIN(RADIANS(E81))/COS(RADIANS(E88)))))</f>
        <v>52.759999216520541</v>
      </c>
      <c r="G123" t="s">
        <v>186</v>
      </c>
    </row>
    <row r="124" spans="2:7" x14ac:dyDescent="0.25">
      <c r="G124" t="s">
        <v>187</v>
      </c>
    </row>
    <row r="125" spans="2:7" x14ac:dyDescent="0.25">
      <c r="B125" s="16" t="s">
        <v>188</v>
      </c>
      <c r="C125" s="16" t="s">
        <v>43</v>
      </c>
      <c r="D125" s="16">
        <f ca="1">D116+D105</f>
        <v>20.584123008416569</v>
      </c>
      <c r="G125" t="s">
        <v>189</v>
      </c>
    </row>
    <row r="126" spans="2:7" x14ac:dyDescent="0.25">
      <c r="E126" s="83">
        <f ca="1">D125/24</f>
        <v>0.85767179201735699</v>
      </c>
      <c r="G126" t="s">
        <v>190</v>
      </c>
    </row>
    <row r="128" spans="2:7" x14ac:dyDescent="0.25">
      <c r="D128" t="s">
        <v>185</v>
      </c>
      <c r="E128" s="86">
        <f ca="1">360-DEGREES(ACOS((SIN(RADIANS(E81))/COS(RADIANS(E88)))))</f>
        <v>307.24000078347945</v>
      </c>
      <c r="G128" t="s">
        <v>191</v>
      </c>
    </row>
    <row r="129" spans="7:7" x14ac:dyDescent="0.25">
      <c r="G129" t="s">
        <v>192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2019-01-24T08:43:14Z</dcterms:created>
  <dcterms:modified xsi:type="dcterms:W3CDTF">2019-07-14T09:39:00Z</dcterms:modified>
</cp:coreProperties>
</file>